
<file path=[Content_Types].xml><?xml version="1.0" encoding="utf-8"?>
<Types xmlns="http://schemas.openxmlformats.org/package/2006/content-types">
  <Override PartName="/xl/drawings/drawing2.xml" ContentType="application/vnd.openxmlformats-officedocument.drawing+xml"/>
  <Override PartName="/xl/drawings/drawing1.xml" ContentType="application/vnd.openxmlformats-officedocument.drawing+xml"/>
  <Override PartName="/xl/_rels/workbook.xml.rels" ContentType="application/vnd.openxmlformats-package.relationships+xml"/>
  <Override PartName="/xl/sharedStrings.xml" ContentType="application/vnd.openxmlformats-officedocument.spreadsheetml.sharedStrings+xml"/>
  <Override PartName="/xl/worksheets/sheet8.xml" ContentType="application/vnd.openxmlformats-officedocument.spreadsheetml.worksheet+xml"/>
  <Override PartName="/xl/worksheets/_rels/sheet7.xml.rels" ContentType="application/vnd.openxmlformats-package.relationships+xml"/>
  <Override PartName="/xl/worksheets/_rels/sheet1.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Composicion del Rodeo de Cria" sheetId="1" state="visible" r:id="rId2"/>
    <sheet name="Precios" sheetId="2" state="visible" r:id="rId3"/>
    <sheet name="Cuenta Capital" sheetId="3" state="visible" r:id="rId4"/>
    <sheet name="Gastos Directos Forrajes" sheetId="4" state="visible" r:id="rId5"/>
    <sheet name="Gastos Directos -Sanidad" sheetId="5" state="visible" r:id="rId6"/>
    <sheet name="Costo de Producccion" sheetId="6" state="visible" r:id="rId7"/>
    <sheet name="Guerra" sheetId="7" state="hidden" r:id="rId8"/>
    <sheet name="Scheafer" sheetId="8" state="hidden" r:id="rId9"/>
  </sheets>
  <definedNames>
    <definedName function="false" hidden="false" localSheetId="4" name="_xlnm.Print_Area" vbProcedure="false">'Gastos Directos -Sanidad'!$B$3:$I$47</definedName>
    <definedName function="false" hidden="false" localSheetId="3" name="_xlnm.Print_Area" vbProcedure="false">'Gastos Directos Forrajes'!$B$3:$R$23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<sst xmlns="http://schemas.openxmlformats.org/spreadsheetml/2006/main" count="555" uniqueCount="336">
  <si>
    <t xml:space="preserve">"Costo de Produccion de Cria Bovina"</t>
  </si>
  <si>
    <t xml:space="preserve">Trancas, Tucumán - 2020</t>
  </si>
  <si>
    <t xml:space="preserve">Categoria</t>
  </si>
  <si>
    <t xml:space="preserve">Cab.</t>
  </si>
  <si>
    <t xml:space="preserve">Kg./Cab.</t>
  </si>
  <si>
    <t xml:space="preserve">Vacas</t>
  </si>
  <si>
    <t xml:space="preserve">Vacas Refugo</t>
  </si>
  <si>
    <t xml:space="preserve">Terneras</t>
  </si>
  <si>
    <t xml:space="preserve">Terneros</t>
  </si>
  <si>
    <t xml:space="preserve">Vaquillonas 1 año</t>
  </si>
  <si>
    <t xml:space="preserve">Vaquillonas 2 año</t>
  </si>
  <si>
    <t xml:space="preserve">Toros</t>
  </si>
  <si>
    <t xml:space="preserve">Toros Refugo</t>
  </si>
  <si>
    <t xml:space="preserve"> Parición</t>
  </si>
  <si>
    <t xml:space="preserve">Destete</t>
  </si>
  <si>
    <t xml:space="preserve">Reposicion Hembras</t>
  </si>
  <si>
    <t xml:space="preserve">% Machos</t>
  </si>
  <si>
    <t xml:space="preserve">Peso de vaquillonas al 1° servicio:    </t>
  </si>
  <si>
    <t xml:space="preserve">          300 Kg.</t>
  </si>
  <si>
    <t xml:space="preserve">Costo de Produccion de Cria Bovina</t>
  </si>
  <si>
    <t xml:space="preserve">Burruyacu, Tucumán – 2020</t>
  </si>
  <si>
    <t xml:space="preserve">Listado básico de precios de insumos y servicios al 20/03/2020</t>
  </si>
  <si>
    <t xml:space="preserve">Tierra</t>
  </si>
  <si>
    <t xml:space="preserve">$/Unidad</t>
  </si>
  <si>
    <t xml:space="preserve">Hectarea en Trancas</t>
  </si>
  <si>
    <t xml:space="preserve">$/Ha</t>
  </si>
  <si>
    <t xml:space="preserve">U$S/Ha</t>
  </si>
  <si>
    <t xml:space="preserve">Mano de Obra</t>
  </si>
  <si>
    <t xml:space="preserve">Mano de Obra sin cargas sociales</t>
  </si>
  <si>
    <t xml:space="preserve">jornal General</t>
  </si>
  <si>
    <t xml:space="preserve">$/Jornal</t>
  </si>
  <si>
    <t xml:space="preserve">Jornal Personal Capacitado</t>
  </si>
  <si>
    <t xml:space="preserve">Encargado</t>
  </si>
  <si>
    <t xml:space="preserve">$/Mes</t>
  </si>
  <si>
    <t xml:space="preserve">Servicios</t>
  </si>
  <si>
    <t xml:space="preserve">Siembra</t>
  </si>
  <si>
    <t xml:space="preserve">Arar</t>
  </si>
  <si>
    <t xml:space="preserve">Tacto</t>
  </si>
  <si>
    <t xml:space="preserve">$/Tacto</t>
  </si>
  <si>
    <t xml:space="preserve">Samillas</t>
  </si>
  <si>
    <t xml:space="preserve">Semilla Avena</t>
  </si>
  <si>
    <t xml:space="preserve">$/Kg</t>
  </si>
  <si>
    <t xml:space="preserve">Semilla Grama Rhodes</t>
  </si>
  <si>
    <t xml:space="preserve">Combustible / Energia</t>
  </si>
  <si>
    <t xml:space="preserve">Gasoil</t>
  </si>
  <si>
    <t xml:space="preserve">$/L</t>
  </si>
  <si>
    <t xml:space="preserve">Kw/Hs</t>
  </si>
  <si>
    <t xml:space="preserve">$/Kw.Hs</t>
  </si>
  <si>
    <t xml:space="preserve">Capital Fundiario - Mejoras</t>
  </si>
  <si>
    <t xml:space="preserve">Aguada</t>
  </si>
  <si>
    <t xml:space="preserve">U$S</t>
  </si>
  <si>
    <t xml:space="preserve">Tractor</t>
  </si>
  <si>
    <t xml:space="preserve">Rastra</t>
  </si>
  <si>
    <t xml:space="preserve">Alambrado 7 Hilos</t>
  </si>
  <si>
    <t xml:space="preserve">Alambrado 5 Hilos</t>
  </si>
  <si>
    <t xml:space="preserve">Manga</t>
  </si>
  <si>
    <t xml:space="preserve">Casilla  de Operar</t>
  </si>
  <si>
    <t xml:space="preserve">Capital de explotación fijo inanimado</t>
  </si>
  <si>
    <t xml:space="preserve">Camioneta</t>
  </si>
  <si>
    <t xml:space="preserve">Casilla </t>
  </si>
  <si>
    <t xml:space="preserve">Boyero </t>
  </si>
  <si>
    <t xml:space="preserve">Mochila </t>
  </si>
  <si>
    <t xml:space="preserve">Insumos Veterinarios</t>
  </si>
  <si>
    <t xml:space="preserve">Aftosa</t>
  </si>
  <si>
    <t xml:space="preserve">$/Dosis</t>
  </si>
  <si>
    <t xml:space="preserve">Brucelosis</t>
  </si>
  <si>
    <t xml:space="preserve">Triple</t>
  </si>
  <si>
    <t xml:space="preserve">Desparasitario</t>
  </si>
  <si>
    <t xml:space="preserve">Precio Hacienda</t>
  </si>
  <si>
    <t xml:space="preserve">Vaquillona 270-390</t>
  </si>
  <si>
    <t xml:space="preserve">Vaquillona 391-430</t>
  </si>
  <si>
    <t xml:space="preserve">Vacas Buena</t>
  </si>
  <si>
    <t xml:space="preserve">Toro Reproductor</t>
  </si>
  <si>
    <t xml:space="preserve">$/animal</t>
  </si>
  <si>
    <t xml:space="preserve">Vaquillonas preñadas 1 año</t>
  </si>
  <si>
    <t xml:space="preserve">Vaquillonas preñadas 2 años</t>
  </si>
  <si>
    <t xml:space="preserve">Vacas preñadas</t>
  </si>
  <si>
    <t xml:space="preserve">Agroquimicos</t>
  </si>
  <si>
    <t xml:space="preserve">Tordon D30</t>
  </si>
  <si>
    <t xml:space="preserve">$/Lt</t>
  </si>
  <si>
    <t xml:space="preserve">Tordon D31</t>
  </si>
  <si>
    <t xml:space="preserve">U$S/Lt</t>
  </si>
  <si>
    <t xml:space="preserve">Cotización</t>
  </si>
  <si>
    <t xml:space="preserve">Dolares</t>
  </si>
  <si>
    <t xml:space="preserve">Capital Fundiario - Tierra</t>
  </si>
  <si>
    <t xml:space="preserve">Un. </t>
  </si>
  <si>
    <t xml:space="preserve">Cant. </t>
  </si>
  <si>
    <t xml:space="preserve">P.U. </t>
  </si>
  <si>
    <t xml:space="preserve">V.N </t>
  </si>
  <si>
    <t xml:space="preserve">V.R.P. </t>
  </si>
  <si>
    <t xml:space="preserve">V.U. </t>
  </si>
  <si>
    <t xml:space="preserve">D.F.P </t>
  </si>
  <si>
    <t xml:space="preserve">Amort. </t>
  </si>
  <si>
    <t xml:space="preserve">VRAci. in. </t>
  </si>
  <si>
    <t xml:space="preserve">VRAci ½ </t>
  </si>
  <si>
    <t xml:space="preserve">Intereses</t>
  </si>
  <si>
    <t xml:space="preserve">$ </t>
  </si>
  <si>
    <t xml:space="preserve">Años </t>
  </si>
  <si>
    <t xml:space="preserve">[$/año] </t>
  </si>
  <si>
    <t xml:space="preserve">[$] </t>
  </si>
  <si>
    <t xml:space="preserve">Tasa </t>
  </si>
  <si>
    <t xml:space="preserve">Monto</t>
  </si>
  <si>
    <t xml:space="preserve">Pasturas implantadas </t>
  </si>
  <si>
    <t xml:space="preserve">Has. </t>
  </si>
  <si>
    <t xml:space="preserve">Verdeos invernales </t>
  </si>
  <si>
    <t xml:space="preserve">Área de servicio </t>
  </si>
  <si>
    <t xml:space="preserve">Monte</t>
  </si>
  <si>
    <t xml:space="preserve">Tierra </t>
  </si>
  <si>
    <t xml:space="preserve">Capital Fundiario - Mejoras Extraordinarias</t>
  </si>
  <si>
    <t xml:space="preserve">Aguada </t>
  </si>
  <si>
    <t xml:space="preserve">Unidad </t>
  </si>
  <si>
    <t xml:space="preserve">Capital fundiario - mejoras ordinarias</t>
  </si>
  <si>
    <t xml:space="preserve">$/año </t>
  </si>
  <si>
    <t xml:space="preserve">Alambrados perimetrales</t>
  </si>
  <si>
    <t xml:space="preserve">Propio </t>
  </si>
  <si>
    <t xml:space="preserve">mts. </t>
  </si>
  <si>
    <t xml:space="preserve">Medianero </t>
  </si>
  <si>
    <t xml:space="preserve">Corral de Aparte </t>
  </si>
  <si>
    <t xml:space="preserve">Manga </t>
  </si>
  <si>
    <t xml:space="preserve">Casilla de Operar</t>
  </si>
  <si>
    <t xml:space="preserve">Siembra de Pasturas</t>
  </si>
  <si>
    <t xml:space="preserve">Mejoras Ordinarias </t>
  </si>
  <si>
    <t xml:space="preserve">Capital de explotación fijo vivo</t>
  </si>
  <si>
    <t xml:space="preserve">Vacas </t>
  </si>
  <si>
    <t xml:space="preserve">Cabezas </t>
  </si>
  <si>
    <t xml:space="preserve">Toros </t>
  </si>
  <si>
    <t xml:space="preserve">Vaquillonas 1 </t>
  </si>
  <si>
    <t xml:space="preserve">Vaquillonas 2 </t>
  </si>
  <si>
    <t xml:space="preserve">TOTAL</t>
  </si>
  <si>
    <t xml:space="preserve">Camioneta </t>
  </si>
  <si>
    <t xml:space="preserve">Total </t>
  </si>
  <si>
    <t xml:space="preserve">Cuenta Capital - Resumen</t>
  </si>
  <si>
    <t xml:space="preserve">$</t>
  </si>
  <si>
    <t xml:space="preserve">Total Amortizaciones </t>
  </si>
  <si>
    <t xml:space="preserve">Amort. mejoras fundiarias ordinarias + Amort. cap. de explot. fijo (vivo + inanimado)</t>
  </si>
  <si>
    <t xml:space="preserve">Renta fundiaria </t>
  </si>
  <si>
    <t xml:space="preserve">Interés sobre la tierra + Interés mejoras extraordinarias</t>
  </si>
  <si>
    <t xml:space="preserve">Interés fundiario </t>
  </si>
  <si>
    <t xml:space="preserve">Interés mejoras ordinarias</t>
  </si>
  <si>
    <t xml:space="preserve">I.C.E.F. </t>
  </si>
  <si>
    <t xml:space="preserve">Interés capital de explotación fijo</t>
  </si>
  <si>
    <t xml:space="preserve">Capital Fijo Medio </t>
  </si>
  <si>
    <t xml:space="preserve">V.N tierra + V.N. mejoras extraordinarias + VRAci 1/2 mejoras ordinarias + VRAci 1/2 c.e.f .(vivo + inanimado)</t>
  </si>
  <si>
    <t xml:space="preserve">Gastos Directos - Pasturas</t>
  </si>
  <si>
    <t xml:space="preserve">Nº de Veces </t>
  </si>
  <si>
    <t xml:space="preserve">Agroquimicos </t>
  </si>
  <si>
    <t xml:space="preserve">Mano de obra </t>
  </si>
  <si>
    <t xml:space="preserve">Otros insumos </t>
  </si>
  <si>
    <t xml:space="preserve">Servicios contratados </t>
  </si>
  <si>
    <t xml:space="preserve">Total por labor</t>
  </si>
  <si>
    <t xml:space="preserve">Cant/Ha </t>
  </si>
  <si>
    <t xml:space="preserve">$/Ha. </t>
  </si>
  <si>
    <t xml:space="preserve">Jorn/Ha </t>
  </si>
  <si>
    <t xml:space="preserve">Cant/Ha. </t>
  </si>
  <si>
    <t xml:space="preserve">$/ha. </t>
  </si>
  <si>
    <t xml:space="preserve">$/Ha.</t>
  </si>
  <si>
    <t xml:space="preserve">Aplicación de arbusticida </t>
  </si>
  <si>
    <t xml:space="preserve">- Tordon D30 </t>
  </si>
  <si>
    <t xml:space="preserve">- Mano de obra </t>
  </si>
  <si>
    <t xml:space="preserve">Total $/Ha</t>
  </si>
  <si>
    <t xml:space="preserve">Gastos Directos - Avena</t>
  </si>
  <si>
    <t xml:space="preserve">Potencia de tracción</t>
  </si>
  <si>
    <t xml:space="preserve">Tiempo operativo</t>
  </si>
  <si>
    <t xml:space="preserve">Gastos de conservación y reparaciones</t>
  </si>
  <si>
    <t xml:space="preserve">Gastos de combustible </t>
  </si>
  <si>
    <t xml:space="preserve">C. G. comb.</t>
  </si>
  <si>
    <t xml:space="preserve">Preparación del suelo </t>
  </si>
  <si>
    <t xml:space="preserve">[HP]</t>
  </si>
  <si>
    <t xml:space="preserve">[ Hs./Ha.]</t>
  </si>
  <si>
    <t xml:space="preserve">[1/Hs.]</t>
  </si>
  <si>
    <t xml:space="preserve">[$ / Ha.]</t>
  </si>
  <si>
    <t xml:space="preserve">[Lts./ha.]</t>
  </si>
  <si>
    <t xml:space="preserve">[$/Ha.]</t>
  </si>
  <si>
    <t xml:space="preserve">- Rastrar </t>
  </si>
  <si>
    <t xml:space="preserve">Siembra </t>
  </si>
  <si>
    <t xml:space="preserve"> Semilla </t>
  </si>
  <si>
    <t xml:space="preserve">Mano de obra</t>
  </si>
  <si>
    <t xml:space="preserve">Servicio de siembra </t>
  </si>
  <si>
    <t xml:space="preserve">TOTAL $/Ha </t>
  </si>
  <si>
    <t xml:space="preserve">Gastos Directos de Sanidad</t>
  </si>
  <si>
    <t xml:space="preserve">Categorias </t>
  </si>
  <si>
    <t xml:space="preserve">Dosis/cab. </t>
  </si>
  <si>
    <t xml:space="preserve">$/Cab. </t>
  </si>
  <si>
    <t xml:space="preserve">$/Totales</t>
  </si>
  <si>
    <t xml:space="preserve">Aftosa </t>
  </si>
  <si>
    <t xml:space="preserve">Terneras </t>
  </si>
  <si>
    <t xml:space="preserve">Terneros </t>
  </si>
  <si>
    <t xml:space="preserve">Subtotal Aftosa </t>
  </si>
  <si>
    <t xml:space="preserve">Subtotal brucelosis </t>
  </si>
  <si>
    <t xml:space="preserve">Subtotal Triple </t>
  </si>
  <si>
    <t xml:space="preserve">Sutotal desparasitado </t>
  </si>
  <si>
    <t xml:space="preserve">Total insumos veterinarios </t>
  </si>
  <si>
    <t xml:space="preserve">Mano de obra directa </t>
  </si>
  <si>
    <t xml:space="preserve">Cantidad de Jornales </t>
  </si>
  <si>
    <t xml:space="preserve">$/jornales </t>
  </si>
  <si>
    <t xml:space="preserve">Cargas sociales 30%</t>
  </si>
  <si>
    <t xml:space="preserve">Total sanidad </t>
  </si>
  <si>
    <t xml:space="preserve">Gastos Directos - Manejo Reproductivo</t>
  </si>
  <si>
    <t xml:space="preserve">Categorías </t>
  </si>
  <si>
    <t xml:space="preserve">cab. </t>
  </si>
  <si>
    <t xml:space="preserve">Nº de tactos </t>
  </si>
  <si>
    <t xml:space="preserve">$/tacto </t>
  </si>
  <si>
    <t xml:space="preserve">Total</t>
  </si>
  <si>
    <t xml:space="preserve">Total Tactos </t>
  </si>
  <si>
    <t xml:space="preserve">Gastos Indirectos y Administrativos</t>
  </si>
  <si>
    <t xml:space="preserve">Costos Fijos Efectivos </t>
  </si>
  <si>
    <t xml:space="preserve">$ / Año</t>
  </si>
  <si>
    <t xml:space="preserve">Movilidad Productor (12000 Km/Año) combustible 10 km/l </t>
  </si>
  <si>
    <t xml:space="preserve">Mantenimiento Camioneta cgcr 0,000005 (1/km)</t>
  </si>
  <si>
    <t xml:space="preserve">Seguro Contra Terceros 1500$/mes </t>
  </si>
  <si>
    <t xml:space="preserve">Conservación de Mejoras (2% Valor Nuevo) </t>
  </si>
  <si>
    <t xml:space="preserve">Impuesto Inmobiliario (% Valor Fiscal )5 o/oo VT </t>
  </si>
  <si>
    <t xml:space="preserve">Impuesto Comuna Rural </t>
  </si>
  <si>
    <t xml:space="preserve">Mano de Obra Permanente (1 Encargado) </t>
  </si>
  <si>
    <t xml:space="preserve">Electricidad</t>
  </si>
  <si>
    <t xml:space="preserve">Capital de Explotación Circulante</t>
  </si>
  <si>
    <t xml:space="preserve">Gastos Directos </t>
  </si>
  <si>
    <t xml:space="preserve">$/Ha </t>
  </si>
  <si>
    <t xml:space="preserve">Sanidad </t>
  </si>
  <si>
    <t xml:space="preserve">Manejo reproductivo </t>
  </si>
  <si>
    <t xml:space="preserve">Mantenimiento de pasturas perennes </t>
  </si>
  <si>
    <t xml:space="preserve">Total Gastos Directos </t>
  </si>
  <si>
    <t xml:space="preserve">Gastos Indirectos </t>
  </si>
  <si>
    <t xml:space="preserve">Total Gastos indirectos. </t>
  </si>
  <si>
    <t xml:space="preserve">Total Gastos </t>
  </si>
  <si>
    <t xml:space="preserve">Gastos </t>
  </si>
  <si>
    <t xml:space="preserve">Gastos generales </t>
  </si>
  <si>
    <t xml:space="preserve">Nº de días del año </t>
  </si>
  <si>
    <t xml:space="preserve">Días de Inmovilización </t>
  </si>
  <si>
    <t xml:space="preserve">Icc</t>
  </si>
  <si>
    <t xml:space="preserve">Total Sup </t>
  </si>
  <si>
    <t xml:space="preserve">Composición del Costo Total</t>
  </si>
  <si>
    <t xml:space="preserve">Rubro </t>
  </si>
  <si>
    <t xml:space="preserve">$ Totales </t>
  </si>
  <si>
    <t xml:space="preserve">$/Kg. Vivo</t>
  </si>
  <si>
    <t xml:space="preserve">Interés mobiliario </t>
  </si>
  <si>
    <t xml:space="preserve">Interés al C. circ. </t>
  </si>
  <si>
    <t xml:space="preserve">Total Intereses </t>
  </si>
  <si>
    <t xml:space="preserve">C.P. contable = ( G + A ) </t>
  </si>
  <si>
    <t xml:space="preserve">C.P. económico = ( G + A +I ) </t>
  </si>
  <si>
    <t xml:space="preserve">Composicion de Costo Total</t>
  </si>
  <si>
    <t xml:space="preserve">Rubro</t>
  </si>
  <si>
    <t xml:space="preserve">$ Totales</t>
  </si>
  <si>
    <t xml:space="preserve">Renta fundiaria</t>
  </si>
  <si>
    <t xml:space="preserve">Interés fundiario</t>
  </si>
  <si>
    <t xml:space="preserve">Interés mobiliario</t>
  </si>
  <si>
    <t xml:space="preserve">Interés al C. circ.</t>
  </si>
  <si>
    <t xml:space="preserve">Total Intereses</t>
  </si>
  <si>
    <t xml:space="preserve">Gastos Directos</t>
  </si>
  <si>
    <t xml:space="preserve">Gastos Indirectos</t>
  </si>
  <si>
    <t xml:space="preserve">Total Gastos</t>
  </si>
  <si>
    <t xml:space="preserve">Total Amortizaciones</t>
  </si>
  <si>
    <t xml:space="preserve">C.P. contable= (G+A)</t>
  </si>
  <si>
    <t xml:space="preserve">C.P. económico= (G+A+I)</t>
  </si>
  <si>
    <t xml:space="preserve">Estimación de Resultados Económicos - Cria</t>
  </si>
  <si>
    <t xml:space="preserve">Categoría</t>
  </si>
  <si>
    <t xml:space="preserve">Peso por Categoría</t>
  </si>
  <si>
    <t xml:space="preserve">Volumen de Venta</t>
  </si>
  <si>
    <t xml:space="preserve">Peso Bruto</t>
  </si>
  <si>
    <t xml:space="preserve">Peso Corregido x desbaste (3%)</t>
  </si>
  <si>
    <t xml:space="preserve">Precio Unitario</t>
  </si>
  <si>
    <t xml:space="preserve">Ingreso por categoría</t>
  </si>
  <si>
    <t xml:space="preserve">(Kgs.x animal)</t>
  </si>
  <si>
    <t xml:space="preserve">(Cant. De Cabs.)</t>
  </si>
  <si>
    <t xml:space="preserve">(Kgs.)</t>
  </si>
  <si>
    <t xml:space="preserve">($/Kg vivo)</t>
  </si>
  <si>
    <t xml:space="preserve">($)</t>
  </si>
  <si>
    <t xml:space="preserve">Total Ingreso</t>
  </si>
  <si>
    <t xml:space="preserve">Gastos de Comercialización</t>
  </si>
  <si>
    <t xml:space="preserve">Pesadas (4 x año)</t>
  </si>
  <si>
    <t xml:space="preserve">Comision venta 3% Valor del Peso Corregido</t>
  </si>
  <si>
    <t xml:space="preserve">Comision de venta= Ing. por categoria x 3%</t>
  </si>
  <si>
    <t xml:space="preserve">Ingreso Percibido por el productor</t>
  </si>
  <si>
    <t xml:space="preserve">I percibido= I por cat. - Pesadas - Comision</t>
  </si>
  <si>
    <t xml:space="preserve">Estimacion de Resultados Economicos - Metodo de Guerra</t>
  </si>
  <si>
    <t xml:space="preserve">$/Kg.vivo</t>
  </si>
  <si>
    <t xml:space="preserve">Ingreso Bruto</t>
  </si>
  <si>
    <t xml:space="preserve">Gastos Variables Directos</t>
  </si>
  <si>
    <t xml:space="preserve">Margen Bruto Global</t>
  </si>
  <si>
    <t xml:space="preserve">MB= IB - GVD</t>
  </si>
  <si>
    <t xml:space="preserve">Margen Neto</t>
  </si>
  <si>
    <t xml:space="preserve">MN= MB - GI</t>
  </si>
  <si>
    <t xml:space="preserve">Amortizaciones</t>
  </si>
  <si>
    <t xml:space="preserve">Ingreso Neto Contable</t>
  </si>
  <si>
    <t xml:space="preserve">IN contable= MN - A</t>
  </si>
  <si>
    <t xml:space="preserve">Ingreso Neto Económico</t>
  </si>
  <si>
    <t xml:space="preserve">IN economico= MN - A -I</t>
  </si>
  <si>
    <t xml:space="preserve">Retribucion al Productor</t>
  </si>
  <si>
    <t xml:space="preserve">Ingreso al Capital</t>
  </si>
  <si>
    <t xml:space="preserve">IK= Incontable - RP</t>
  </si>
  <si>
    <t xml:space="preserve">Capital Total Medio</t>
  </si>
  <si>
    <t xml:space="preserve">CTM=VNtierra+VNm.ext.+VRACI½m.Ord.+VRACI½cef+½K circ.</t>
  </si>
  <si>
    <t xml:space="preserve">Rentabilidad del Capital RC%</t>
  </si>
  <si>
    <t xml:space="preserve">R= IK/CTM</t>
  </si>
  <si>
    <t xml:space="preserve">Productividad y Rentabilidad</t>
  </si>
  <si>
    <t xml:space="preserve">Consideraciones Via Ingresos</t>
  </si>
  <si>
    <t xml:space="preserve">Entradas Brutas (EB)</t>
  </si>
  <si>
    <t xml:space="preserve">Efectivas $</t>
  </si>
  <si>
    <t xml:space="preserve">No Efectivas (valuadas en $)</t>
  </si>
  <si>
    <t xml:space="preserve">-</t>
  </si>
  <si>
    <t xml:space="preserve">Producción Bruta ($)</t>
  </si>
  <si>
    <t xml:space="preserve">PB=EB - G.A.F.E.</t>
  </si>
  <si>
    <t xml:space="preserve">Entradas Brutas ($)</t>
  </si>
  <si>
    <t xml:space="preserve">G.A.F.E. ($)</t>
  </si>
  <si>
    <t xml:space="preserve">GASTOS PRIMARIOS FUERA DEL ESTABLECIMIENTO</t>
  </si>
  <si>
    <t xml:space="preserve">Semillas de Avena</t>
  </si>
  <si>
    <t xml:space="preserve">Superficie=</t>
  </si>
  <si>
    <t xml:space="preserve">Productividad Bruta de la Tierra=</t>
  </si>
  <si>
    <t xml:space="preserve">Productividad Bruta de la Tierra= Pb / Sup.</t>
  </si>
  <si>
    <t xml:space="preserve">Correción de los costos incorporando retribución al productor</t>
  </si>
  <si>
    <t xml:space="preserve">Gastos Directos (excluida la mano de obra)</t>
  </si>
  <si>
    <t xml:space="preserve">Gastos Indirectos  (excluida la mano de obra)</t>
  </si>
  <si>
    <t xml:space="preserve">Gastos= G.D. + G.I. (sin m.o.)</t>
  </si>
  <si>
    <t xml:space="preserve">Mano de Obra Directa</t>
  </si>
  <si>
    <t xml:space="preserve">Mano de Obra Indirecta</t>
  </si>
  <si>
    <t xml:space="preserve">Retribución al Productor</t>
  </si>
  <si>
    <t xml:space="preserve">Total de costos corregidos incorporando retribucon al productor</t>
  </si>
  <si>
    <t xml:space="preserve">Producción Neta</t>
  </si>
  <si>
    <t xml:space="preserve">Producción Bruta</t>
  </si>
  <si>
    <t xml:space="preserve">Gastos (sin Salarios)</t>
  </si>
  <si>
    <t xml:space="preserve">Produccion Neta= PB - A - G (sin salarios)</t>
  </si>
  <si>
    <t xml:space="preserve">Productividad Neta</t>
  </si>
  <si>
    <t xml:space="preserve">Productividad Neta de la Tierra= Producción Neta / Superficie</t>
  </si>
  <si>
    <t xml:space="preserve">Determinación de la Productividad del Tabajo</t>
  </si>
  <si>
    <t xml:space="preserve">Cantidad de Jornales</t>
  </si>
  <si>
    <t xml:space="preserve">Cantidad Equivalentes Hombre (EH)</t>
  </si>
  <si>
    <t xml:space="preserve">Productividad Bruta del Trabajo (PBw)=</t>
  </si>
  <si>
    <t xml:space="preserve">Productividad Bruta del Trabajo= PB / N° de EH</t>
  </si>
  <si>
    <t xml:space="preserve">Productividad Neta del Trabajo (PNw)=</t>
  </si>
  <si>
    <t xml:space="preserve">Productividad Neta del Trabajo= PN / N° de EH</t>
  </si>
  <si>
    <t xml:space="preserve">Determinacion de la Rentabilidad (según el modelo de Scheafer)</t>
  </si>
  <si>
    <t xml:space="preserve">IK= Ingreso del Capital</t>
  </si>
  <si>
    <r>
      <rPr>
        <b val="true"/>
        <sz val="11"/>
        <color rgb="FF000000"/>
        <rFont val="Calibri"/>
        <family val="2"/>
        <charset val="1"/>
      </rPr>
      <t xml:space="preserve">K</t>
    </r>
    <r>
      <rPr>
        <b val="true"/>
        <sz val="8"/>
        <color rgb="FF000000"/>
        <rFont val="Calibri"/>
        <family val="2"/>
        <charset val="1"/>
      </rPr>
      <t xml:space="preserve">½</t>
    </r>
    <r>
      <rPr>
        <b val="true"/>
        <sz val="11"/>
        <color rgb="FF000000"/>
        <rFont val="Calibri"/>
        <family val="2"/>
        <charset val="1"/>
      </rPr>
      <t xml:space="preserve"> total = Capital Medio Total</t>
    </r>
  </si>
  <si>
    <t xml:space="preserve">RC</t>
  </si>
  <si>
    <t xml:space="preserve">IK= Ingreso del Capital=PN- Retribución al factor trabajo</t>
  </si>
  <si>
    <r>
      <rPr>
        <b val="true"/>
        <sz val="11"/>
        <color rgb="FF000000"/>
        <rFont val="Calibri"/>
        <family val="2"/>
        <charset val="1"/>
      </rPr>
      <t xml:space="preserve">RC=( IK  / K</t>
    </r>
    <r>
      <rPr>
        <b val="true"/>
        <sz val="8"/>
        <color rgb="FF000000"/>
        <rFont val="Calibri"/>
        <family val="2"/>
        <charset val="1"/>
      </rPr>
      <t xml:space="preserve">½ </t>
    </r>
    <r>
      <rPr>
        <b val="true"/>
        <sz val="11"/>
        <color rgb="FF000000"/>
        <rFont val="Calibri"/>
        <family val="2"/>
        <charset val="1"/>
      </rPr>
      <t xml:space="preserve">Total)x 100</t>
    </r>
  </si>
</sst>
</file>

<file path=xl/styles.xml><?xml version="1.0" encoding="utf-8"?>
<styleSheet xmlns="http://schemas.openxmlformats.org/spreadsheetml/2006/main">
  <numFmts count="11">
    <numFmt numFmtId="164" formatCode="General"/>
    <numFmt numFmtId="165" formatCode="0"/>
    <numFmt numFmtId="166" formatCode="0\ %"/>
    <numFmt numFmtId="167" formatCode="&quot; $ &quot;* #,##0.00\ ;&quot; $ &quot;* \-#,##0.00\ ;&quot; $ &quot;* \-#\ ;@\ "/>
    <numFmt numFmtId="168" formatCode="0.00"/>
    <numFmt numFmtId="169" formatCode="* #,##0.00\ ;\-* #,##0.00\ ;* \-#\ ;@\ "/>
    <numFmt numFmtId="170" formatCode="* #,##0\ ;\-* #,##0\ ;* \-#\ ;@\ "/>
    <numFmt numFmtId="171" formatCode="#,##0.00"/>
    <numFmt numFmtId="172" formatCode="0.0"/>
    <numFmt numFmtId="173" formatCode="General\ "/>
    <numFmt numFmtId="174" formatCode="&quot; $ &quot;* #,##0\ ;&quot; $ &quot;* \-#,##0\ ;&quot; $ &quot;* \-#\ ;@\ "/>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Cambria"/>
      <family val="1"/>
      <charset val="1"/>
    </font>
    <font>
      <b val="true"/>
      <sz val="14"/>
      <color rgb="FF000000"/>
      <name val="Cambria"/>
      <family val="1"/>
      <charset val="1"/>
    </font>
    <font>
      <b val="true"/>
      <sz val="12"/>
      <color rgb="FF000000"/>
      <name val="Cambria"/>
      <family val="1"/>
      <charset val="1"/>
    </font>
    <font>
      <b val="true"/>
      <sz val="11"/>
      <name val="Calibri"/>
      <family val="2"/>
      <charset val="1"/>
    </font>
    <font>
      <sz val="11"/>
      <name val="Calibri"/>
      <family val="2"/>
      <charset val="1"/>
    </font>
    <font>
      <b val="true"/>
      <sz val="11"/>
      <color rgb="FF000000"/>
      <name val="Calibri"/>
      <family val="2"/>
      <charset val="1"/>
    </font>
    <font>
      <sz val="11"/>
      <color rgb="FF000000"/>
      <name val="Arial"/>
      <family val="0"/>
    </font>
    <font>
      <b val="true"/>
      <sz val="12"/>
      <color rgb="FF000000"/>
      <name val="Calibri"/>
      <family val="2"/>
      <charset val="1"/>
    </font>
    <font>
      <b val="true"/>
      <u val="single"/>
      <sz val="11"/>
      <color rgb="FF000000"/>
      <name val="Calibri"/>
      <family val="2"/>
      <charset val="1"/>
    </font>
    <font>
      <b val="true"/>
      <sz val="10"/>
      <name val="Arial"/>
      <family val="2"/>
      <charset val="1"/>
    </font>
    <font>
      <sz val="10"/>
      <name val="Arial"/>
      <family val="2"/>
      <charset val="1"/>
    </font>
    <font>
      <sz val="11"/>
      <name val="Arial"/>
      <family val="2"/>
      <charset val="1"/>
    </font>
    <font>
      <sz val="11"/>
      <color rgb="FF000000"/>
      <name val="Arial"/>
      <family val="2"/>
      <charset val="1"/>
    </font>
    <font>
      <sz val="10"/>
      <color rgb="FF000000"/>
      <name val="Arial"/>
      <family val="2"/>
      <charset val="1"/>
    </font>
    <font>
      <b val="true"/>
      <sz val="10"/>
      <color rgb="FFFFFFFF"/>
      <name val="Arial"/>
      <family val="2"/>
      <charset val="1"/>
    </font>
    <font>
      <sz val="10"/>
      <color rgb="FFFFFFFF"/>
      <name val="Arial"/>
      <family val="2"/>
      <charset val="1"/>
    </font>
    <font>
      <b val="true"/>
      <sz val="10"/>
      <color rgb="FF000000"/>
      <name val="Arial"/>
      <family val="2"/>
      <charset val="1"/>
    </font>
    <font>
      <b val="true"/>
      <sz val="11"/>
      <name val="Arial"/>
      <family val="2"/>
      <charset val="1"/>
    </font>
    <font>
      <b val="true"/>
      <sz val="11"/>
      <color rgb="FF000000"/>
      <name val="Arial"/>
      <family val="2"/>
      <charset val="1"/>
    </font>
    <font>
      <sz val="11"/>
      <color rgb="FFFFFFFF"/>
      <name val="Arial"/>
      <family val="2"/>
      <charset val="1"/>
    </font>
    <font>
      <b val="true"/>
      <sz val="11"/>
      <color rgb="FFFFFFFF"/>
      <name val="Calibri"/>
      <family val="2"/>
      <charset val="1"/>
    </font>
    <font>
      <b val="true"/>
      <sz val="11"/>
      <color rgb="FFFFFFFF"/>
      <name val="Arial"/>
      <family val="2"/>
      <charset val="1"/>
    </font>
    <font>
      <b val="true"/>
      <sz val="12"/>
      <name val="Arial"/>
      <family val="2"/>
      <charset val="1"/>
    </font>
    <font>
      <sz val="10"/>
      <color rgb="FF000000"/>
      <name val="Calibri"/>
      <family val="2"/>
      <charset val="1"/>
    </font>
    <font>
      <b val="true"/>
      <sz val="8"/>
      <color rgb="FF000000"/>
      <name val="Calibri"/>
      <family val="2"/>
      <charset val="1"/>
    </font>
  </fonts>
  <fills count="13">
    <fill>
      <patternFill patternType="none"/>
    </fill>
    <fill>
      <patternFill patternType="gray125"/>
    </fill>
    <fill>
      <patternFill patternType="solid">
        <fgColor rgb="FFFFFFFF"/>
        <bgColor rgb="FFF2F2F2"/>
      </patternFill>
    </fill>
    <fill>
      <patternFill patternType="solid">
        <fgColor rgb="FFD9D9D9"/>
        <bgColor rgb="FFDDDDDD"/>
      </patternFill>
    </fill>
    <fill>
      <patternFill patternType="solid">
        <fgColor rgb="FFF2F2F2"/>
        <bgColor rgb="FFFFFFFF"/>
      </patternFill>
    </fill>
    <fill>
      <patternFill patternType="solid">
        <fgColor rgb="FFFCD4D1"/>
        <bgColor rgb="FFDDDDDD"/>
      </patternFill>
    </fill>
    <fill>
      <patternFill patternType="solid">
        <fgColor rgb="FFFFF685"/>
        <bgColor rgb="FFFFF9AE"/>
      </patternFill>
    </fill>
    <fill>
      <patternFill patternType="solid">
        <fgColor rgb="FFDDDDDD"/>
        <bgColor rgb="FFD9D9D9"/>
      </patternFill>
    </fill>
    <fill>
      <patternFill patternType="solid">
        <fgColor rgb="FFFFF9AE"/>
        <bgColor rgb="FFFFFBCC"/>
      </patternFill>
    </fill>
    <fill>
      <patternFill patternType="solid">
        <fgColor rgb="FFF9A870"/>
        <bgColor rgb="FFFF99CC"/>
      </patternFill>
    </fill>
    <fill>
      <patternFill patternType="solid">
        <fgColor rgb="FFBEE3D3"/>
        <bgColor rgb="FFD9D9D9"/>
      </patternFill>
    </fill>
    <fill>
      <patternFill patternType="solid">
        <fgColor rgb="FFFFFBCC"/>
        <bgColor rgb="FFFFF9AE"/>
      </patternFill>
    </fill>
    <fill>
      <patternFill patternType="solid">
        <fgColor rgb="FFFFF200"/>
        <bgColor rgb="FFFFCC00"/>
      </patternFill>
    </fill>
  </fills>
  <borders count="39">
    <border diagonalUp="false" diagonalDown="false">
      <left/>
      <right/>
      <top/>
      <botto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diagonal/>
    </border>
    <border diagonalUp="false" diagonalDown="false">
      <left/>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style="medium"/>
      <right style="thin"/>
      <top/>
      <bottom style="medium"/>
      <diagonal/>
    </border>
    <border diagonalUp="false" diagonalDown="false">
      <left/>
      <right style="medium"/>
      <top style="medium"/>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36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6" fillId="2" borderId="2"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left" vertical="bottom" textRotation="0" wrapText="true" indent="0" shrinkToFit="false"/>
      <protection locked="true" hidden="false"/>
    </xf>
    <xf numFmtId="164" fontId="0" fillId="2" borderId="0" xfId="0" applyFont="false" applyBorder="true" applyAlignment="true" applyProtection="false">
      <alignment horizontal="center" vertical="center" textRotation="0" wrapText="tru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7" fillId="2" borderId="3" xfId="0" applyFont="true" applyBorder="true" applyAlignment="true" applyProtection="false">
      <alignment horizontal="center" vertical="center" textRotation="0" wrapText="false" indent="0" shrinkToFit="false"/>
      <protection locked="true" hidden="false"/>
    </xf>
    <xf numFmtId="164" fontId="7" fillId="2" borderId="4" xfId="0" applyFont="true" applyBorder="true" applyAlignment="true" applyProtection="false">
      <alignment horizontal="center" vertical="center" textRotation="0" wrapText="false" indent="0" shrinkToFit="false"/>
      <protection locked="true" hidden="false"/>
    </xf>
    <xf numFmtId="164" fontId="7" fillId="2" borderId="5" xfId="0" applyFont="true" applyBorder="true" applyAlignment="true" applyProtection="false">
      <alignment horizontal="center" vertical="center" textRotation="0" wrapText="false" indent="0" shrinkToFit="false"/>
      <protection locked="true" hidden="false"/>
    </xf>
    <xf numFmtId="164" fontId="7" fillId="2" borderId="6" xfId="0" applyFont="true" applyBorder="true" applyAlignment="true" applyProtection="false">
      <alignment horizontal="center" vertical="center" textRotation="0" wrapText="false" indent="0" shrinkToFit="false"/>
      <protection locked="true" hidden="false"/>
    </xf>
    <xf numFmtId="164" fontId="8" fillId="2" borderId="7" xfId="0" applyFont="true" applyBorder="true" applyAlignment="true" applyProtection="false">
      <alignment horizontal="center" vertical="center" textRotation="0" wrapText="false" indent="0" shrinkToFit="false"/>
      <protection locked="true" hidden="false"/>
    </xf>
    <xf numFmtId="164" fontId="8" fillId="2" borderId="8" xfId="0" applyFont="true" applyBorder="true" applyAlignment="true" applyProtection="false">
      <alignment horizontal="center" vertical="center" textRotation="0" wrapText="false" indent="0" shrinkToFit="false"/>
      <protection locked="true" hidden="false"/>
    </xf>
    <xf numFmtId="165" fontId="8" fillId="2" borderId="7" xfId="0" applyFont="true" applyBorder="true" applyAlignment="true" applyProtection="false">
      <alignment horizontal="center" vertical="center" textRotation="0" wrapText="false" indent="0" shrinkToFit="false"/>
      <protection locked="true" hidden="false"/>
    </xf>
    <xf numFmtId="164" fontId="9" fillId="2" borderId="9" xfId="0" applyFont="true" applyBorder="true" applyAlignment="true" applyProtection="false">
      <alignment horizontal="center" vertical="center" textRotation="0" wrapText="fals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4" fontId="0" fillId="2" borderId="11" xfId="0" applyFont="false" applyBorder="true" applyAlignment="true" applyProtection="false">
      <alignment horizontal="center" vertical="bottom" textRotation="0" wrapText="false" indent="0" shrinkToFit="false"/>
      <protection locked="true" hidden="false"/>
    </xf>
    <xf numFmtId="164" fontId="8" fillId="2" borderId="12" xfId="0" applyFont="true" applyBorder="true" applyAlignment="true" applyProtection="false">
      <alignment horizontal="left" vertical="center" textRotation="0" wrapText="false" indent="0" shrinkToFit="false"/>
      <protection locked="true" hidden="false"/>
    </xf>
    <xf numFmtId="164" fontId="0" fillId="2" borderId="13" xfId="0" applyFont="false" applyBorder="true" applyAlignment="false" applyProtection="false">
      <alignment horizontal="general" vertical="bottom" textRotation="0" wrapText="false" indent="0" shrinkToFit="false"/>
      <protection locked="true" hidden="false"/>
    </xf>
    <xf numFmtId="166" fontId="8" fillId="2" borderId="5" xfId="19" applyFont="true" applyBorder="true" applyAlignment="true" applyProtection="true">
      <alignment horizontal="center" vertical="center" textRotation="0" wrapText="false" indent="0" shrinkToFit="false"/>
      <protection locked="true" hidden="false"/>
    </xf>
    <xf numFmtId="164" fontId="8" fillId="2" borderId="14" xfId="0" applyFont="true" applyBorder="true" applyAlignment="true" applyProtection="false">
      <alignment horizontal="left"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6" fontId="8" fillId="2" borderId="8" xfId="19" applyFont="true" applyBorder="true" applyAlignment="true" applyProtection="true">
      <alignment horizontal="center" vertical="center" textRotation="0" wrapText="false" indent="0" shrinkToFit="false"/>
      <protection locked="true" hidden="false"/>
    </xf>
    <xf numFmtId="164" fontId="8" fillId="2" borderId="15" xfId="0" applyFont="true" applyBorder="true" applyAlignment="true" applyProtection="false">
      <alignment horizontal="left" vertical="center" textRotation="0" wrapText="false" indent="0" shrinkToFit="false"/>
      <protection locked="true" hidden="false"/>
    </xf>
    <xf numFmtId="164" fontId="0" fillId="2" borderId="16" xfId="0" applyFont="false" applyBorder="true" applyAlignment="false" applyProtection="false">
      <alignment horizontal="general" vertical="bottom" textRotation="0" wrapText="false" indent="0" shrinkToFit="false"/>
      <protection locked="true" hidden="false"/>
    </xf>
    <xf numFmtId="164" fontId="0" fillId="2" borderId="11"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12" fillId="3" borderId="0" xfId="0" applyFont="true" applyBorder="true" applyAlignment="true" applyProtection="false">
      <alignment horizontal="left" vertical="center" textRotation="0" wrapText="false" indent="0" shrinkToFit="false"/>
      <protection locked="true" hidden="false"/>
    </xf>
    <xf numFmtId="164" fontId="0" fillId="3" borderId="0" xfId="0" applyFont="true" applyBorder="true" applyAlignment="true" applyProtection="false">
      <alignment horizontal="right" vertical="center"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false">
      <alignment horizontal="left" vertical="bottom" textRotation="0" wrapText="false" indent="0" shrinkToFit="false"/>
      <protection locked="true" hidden="false"/>
    </xf>
    <xf numFmtId="164" fontId="0" fillId="3" borderId="1" xfId="0" applyFont="true" applyBorder="true" applyAlignment="true" applyProtection="false">
      <alignment horizontal="center" vertical="bottom" textRotation="0" wrapText="true" indent="0" shrinkToFit="false"/>
      <protection locked="true" hidden="false"/>
    </xf>
    <xf numFmtId="164" fontId="0" fillId="2" borderId="0" xfId="17" applyFont="true" applyBorder="true" applyAlignment="true" applyProtection="true">
      <alignment horizontal="right"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0" fillId="2" borderId="14" xfId="17" applyFont="true" applyBorder="true" applyAlignment="true" applyProtection="true">
      <alignment horizontal="right" vertical="bottom" textRotation="0" wrapText="false" indent="0" shrinkToFit="false"/>
      <protection locked="true" hidden="false"/>
    </xf>
    <xf numFmtId="164" fontId="0" fillId="2" borderId="17" xfId="0" applyFont="true" applyBorder="true" applyAlignment="true" applyProtection="false">
      <alignment horizontal="center" vertical="bottom" textRotation="0" wrapText="false" indent="0" shrinkToFit="false"/>
      <protection locked="true" hidden="false"/>
    </xf>
    <xf numFmtId="164" fontId="0" fillId="2" borderId="15" xfId="17" applyFont="true" applyBorder="true" applyAlignment="true" applyProtection="true">
      <alignment horizontal="right" vertical="bottom" textRotation="0" wrapText="false" indent="0" shrinkToFit="false"/>
      <protection locked="true" hidden="false"/>
    </xf>
    <xf numFmtId="164" fontId="0" fillId="2" borderId="18" xfId="0" applyFont="true" applyBorder="true" applyAlignment="true" applyProtection="false">
      <alignment horizontal="center" vertical="bottom" textRotation="0" wrapText="false" indent="0" shrinkToFit="false"/>
      <protection locked="true" hidden="false"/>
    </xf>
    <xf numFmtId="164" fontId="0" fillId="2" borderId="0" xfId="17" applyFont="true" applyBorder="true" applyAlignment="true" applyProtection="true">
      <alignment horizontal="center" vertical="bottom" textRotation="0" wrapText="false" indent="0" shrinkToFit="false"/>
      <protection locked="true" hidden="false"/>
    </xf>
    <xf numFmtId="164" fontId="0" fillId="3" borderId="0" xfId="17" applyFont="true" applyBorder="true" applyAlignment="true" applyProtection="true">
      <alignment horizontal="center" vertical="bottom" textRotation="0" wrapText="false" indent="0" shrinkToFit="false"/>
      <protection locked="true" hidden="false"/>
    </xf>
    <xf numFmtId="164" fontId="0" fillId="3" borderId="0" xfId="0" applyFont="false" applyBorder="true" applyAlignment="true" applyProtection="false">
      <alignment horizontal="center" vertical="bottom" textRotation="0" wrapText="false" indent="0" shrinkToFit="false"/>
      <protection locked="true" hidden="false"/>
    </xf>
    <xf numFmtId="164" fontId="0" fillId="2" borderId="0" xfId="0" applyFont="false" applyBorder="false" applyAlignment="true" applyProtection="false">
      <alignment horizontal="right" vertical="center" textRotation="0" wrapText="false" indent="0" shrinkToFit="false"/>
      <protection locked="true" hidden="false"/>
    </xf>
    <xf numFmtId="164" fontId="0" fillId="2" borderId="0" xfId="17" applyFont="true" applyBorder="true" applyAlignment="true" applyProtection="true">
      <alignment horizontal="right" vertical="center"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0" fillId="0" borderId="0" xfId="17" applyFont="true" applyBorder="true" applyAlignment="true" applyProtection="true">
      <alignment horizontal="right" vertical="bottom" textRotation="0" wrapText="false" indent="0" shrinkToFit="false"/>
      <protection locked="true" hidden="false"/>
    </xf>
    <xf numFmtId="167" fontId="0" fillId="2" borderId="0" xfId="17" applyFont="true" applyBorder="true" applyAlignment="true" applyProtection="true">
      <alignment horizontal="center" vertical="bottom" textRotation="0" wrapText="false" indent="0" shrinkToFit="false"/>
      <protection locked="true" hidden="false"/>
    </xf>
    <xf numFmtId="164" fontId="12" fillId="3" borderId="0" xfId="0" applyFont="true" applyBorder="true" applyAlignment="false" applyProtection="false">
      <alignment horizontal="general" vertical="bottom" textRotation="0" wrapText="false" indent="0" shrinkToFit="false"/>
      <protection locked="true" hidden="false"/>
    </xf>
    <xf numFmtId="167" fontId="0" fillId="3" borderId="0" xfId="17" applyFont="true" applyBorder="true" applyAlignment="true" applyProtection="true">
      <alignment horizontal="center" vertical="bottom" textRotation="0" wrapText="false" indent="0" shrinkToFit="false"/>
      <protection locked="true" hidden="false"/>
    </xf>
    <xf numFmtId="167" fontId="0" fillId="2" borderId="0" xfId="17" applyFont="true" applyBorder="true" applyAlignment="true" applyProtection="true">
      <alignment horizontal="right" vertical="bottom" textRotation="0" wrapText="fals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64" fontId="12" fillId="3" borderId="0"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right" vertical="center" textRotation="0" wrapText="false" indent="0" shrinkToFit="false"/>
      <protection locked="true" hidden="false"/>
    </xf>
    <xf numFmtId="164" fontId="0" fillId="2" borderId="0" xfId="0" applyFont="true" applyBorder="true" applyAlignment="tru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13" fillId="3" borderId="19" xfId="0" applyFont="true" applyBorder="true" applyAlignment="true" applyProtection="false">
      <alignment horizontal="left" vertical="center" textRotation="0" wrapText="false" indent="0" shrinkToFit="false"/>
      <protection locked="true" hidden="false"/>
    </xf>
    <xf numFmtId="164" fontId="14" fillId="3" borderId="20" xfId="0" applyFont="true" applyBorder="true" applyAlignment="true" applyProtection="false">
      <alignment horizontal="center" vertical="center" textRotation="0" wrapText="false" indent="0" shrinkToFit="false"/>
      <protection locked="true" hidden="false"/>
    </xf>
    <xf numFmtId="164" fontId="14" fillId="3" borderId="21" xfId="0" applyFont="true" applyBorder="true" applyAlignment="true" applyProtection="false">
      <alignment horizontal="center" vertical="center" textRotation="0" wrapText="false" indent="0" shrinkToFit="false"/>
      <protection locked="true" hidden="false"/>
    </xf>
    <xf numFmtId="164" fontId="15" fillId="2" borderId="0" xfId="0" applyFont="true" applyBorder="true" applyAlignment="true" applyProtection="false">
      <alignment horizontal="center" vertical="center" textRotation="0" wrapText="fals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4" fillId="2" borderId="14" xfId="0" applyFont="true" applyBorder="true" applyAlignment="true" applyProtection="false">
      <alignment horizontal="center" vertical="center" textRotation="0" wrapText="false" indent="0" shrinkToFit="false"/>
      <protection locked="true" hidden="false"/>
    </xf>
    <xf numFmtId="164" fontId="13" fillId="2" borderId="22" xfId="0" applyFont="true" applyBorder="true" applyAlignment="true" applyProtection="false">
      <alignment horizontal="center" vertical="center" textRotation="0" wrapText="false" indent="0" shrinkToFit="false"/>
      <protection locked="true" hidden="false"/>
    </xf>
    <xf numFmtId="164" fontId="13" fillId="2" borderId="23" xfId="0" applyFont="true" applyBorder="true" applyAlignment="true" applyProtection="false">
      <alignment horizontal="center" vertical="center" textRotation="0" wrapText="false" indent="0" shrinkToFit="false"/>
      <protection locked="true" hidden="false"/>
    </xf>
    <xf numFmtId="164" fontId="13" fillId="2" borderId="7" xfId="0" applyFont="true" applyBorder="true" applyAlignment="true" applyProtection="false">
      <alignment horizontal="center" vertical="center" textRotation="0" wrapText="false" indent="0" shrinkToFit="false"/>
      <protection locked="true" hidden="false"/>
    </xf>
    <xf numFmtId="164" fontId="13" fillId="2" borderId="8" xfId="0" applyFont="true" applyBorder="true" applyAlignment="true" applyProtection="false">
      <alignment horizontal="center" vertical="center" textRotation="0" wrapText="false" indent="0" shrinkToFit="false"/>
      <protection locked="true" hidden="false"/>
    </xf>
    <xf numFmtId="164" fontId="13" fillId="2" borderId="24" xfId="0" applyFont="true" applyBorder="true" applyAlignment="true" applyProtection="false">
      <alignment horizontal="left" vertical="center" textRotation="0" wrapText="false" indent="0" shrinkToFit="false"/>
      <protection locked="true" hidden="false"/>
    </xf>
    <xf numFmtId="164" fontId="14" fillId="2" borderId="7" xfId="0" applyFont="true" applyBorder="true" applyAlignment="true" applyProtection="false">
      <alignment horizontal="center" vertical="center" textRotation="0" wrapText="false" indent="0" shrinkToFit="false"/>
      <protection locked="true" hidden="false"/>
    </xf>
    <xf numFmtId="164" fontId="14" fillId="2" borderId="8" xfId="0" applyFont="true" applyBorder="true" applyAlignment="true" applyProtection="false">
      <alignment horizontal="center" vertical="center" textRotation="0" wrapText="false" indent="0" shrinkToFit="false"/>
      <protection locked="true" hidden="false"/>
    </xf>
    <xf numFmtId="164" fontId="13" fillId="2" borderId="6" xfId="0" applyFont="true" applyBorder="true" applyAlignment="true" applyProtection="false">
      <alignment horizontal="left" vertical="center" textRotation="0" wrapText="false" indent="0" shrinkToFit="false"/>
      <protection locked="true" hidden="false"/>
    </xf>
    <xf numFmtId="164" fontId="13" fillId="4" borderId="9" xfId="0" applyFont="true" applyBorder="true" applyAlignment="true" applyProtection="false">
      <alignment horizontal="center" vertical="center" textRotation="0" wrapText="false" indent="0" shrinkToFit="false"/>
      <protection locked="true" hidden="false"/>
    </xf>
    <xf numFmtId="164" fontId="14" fillId="4" borderId="10" xfId="0" applyFont="true" applyBorder="true" applyAlignment="true" applyProtection="false">
      <alignment horizontal="center" vertical="center" textRotation="0" wrapText="false" indent="0" shrinkToFit="false"/>
      <protection locked="true" hidden="false"/>
    </xf>
    <xf numFmtId="164" fontId="14" fillId="4" borderId="11"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13" fillId="4" borderId="25" xfId="0" applyFont="true" applyBorder="true" applyAlignment="true" applyProtection="false">
      <alignment horizontal="center" vertical="center" textRotation="0" wrapText="false" indent="0" shrinkToFit="false"/>
      <protection locked="true" hidden="false"/>
    </xf>
    <xf numFmtId="167" fontId="17" fillId="4" borderId="10" xfId="0" applyFont="true" applyBorder="true" applyAlignment="true" applyProtection="false">
      <alignment horizontal="center" vertical="center" textRotation="0" wrapText="false" indent="0" shrinkToFit="false"/>
      <protection locked="true" hidden="false"/>
    </xf>
    <xf numFmtId="164" fontId="17" fillId="4" borderId="10" xfId="0" applyFont="true" applyBorder="true" applyAlignment="true" applyProtection="false">
      <alignment horizontal="center" vertical="center" textRotation="0" wrapText="false" indent="0" shrinkToFit="false"/>
      <protection locked="true" hidden="false"/>
    </xf>
    <xf numFmtId="164" fontId="13" fillId="3" borderId="20" xfId="0" applyFont="true" applyBorder="true" applyAlignment="true" applyProtection="false">
      <alignment horizontal="left" vertical="center" textRotation="0" wrapText="false" indent="0" shrinkToFit="false"/>
      <protection locked="true" hidden="false"/>
    </xf>
    <xf numFmtId="164" fontId="13" fillId="2" borderId="6" xfId="0" applyFont="true" applyBorder="true" applyAlignment="true" applyProtection="false">
      <alignment horizontal="center" vertical="center" textRotation="0" wrapText="false" indent="0" shrinkToFit="false"/>
      <protection locked="true" hidden="false"/>
    </xf>
    <xf numFmtId="165" fontId="14" fillId="2" borderId="8" xfId="0" applyFont="true" applyBorder="true" applyAlignment="true" applyProtection="false">
      <alignment horizontal="center" vertical="center" textRotation="0" wrapText="false" indent="0" shrinkToFit="false"/>
      <protection locked="true" hidden="false"/>
    </xf>
    <xf numFmtId="164" fontId="14" fillId="2" borderId="6" xfId="0" applyFont="true" applyBorder="true" applyAlignment="true" applyProtection="false">
      <alignment horizontal="center" vertical="center" textRotation="0" wrapText="false" indent="0" shrinkToFit="false"/>
      <protection locked="true" hidden="false"/>
    </xf>
    <xf numFmtId="168" fontId="17" fillId="2" borderId="7" xfId="0" applyFont="true" applyBorder="true" applyAlignment="true" applyProtection="false">
      <alignment horizontal="center" vertical="center" textRotation="0" wrapText="false" indent="0" shrinkToFit="false"/>
      <protection locked="true" hidden="false"/>
    </xf>
    <xf numFmtId="165" fontId="17" fillId="2" borderId="7" xfId="0" applyFont="true" applyBorder="true" applyAlignment="true" applyProtection="false">
      <alignment horizontal="center" vertical="center" textRotation="0" wrapText="false" indent="0" shrinkToFit="false"/>
      <protection locked="true" hidden="false"/>
    </xf>
    <xf numFmtId="164" fontId="17" fillId="2" borderId="7" xfId="0" applyFont="true" applyBorder="true" applyAlignment="true" applyProtection="false">
      <alignment horizontal="center" vertical="center" textRotation="0" wrapText="false" indent="0" shrinkToFit="false"/>
      <protection locked="true" hidden="false"/>
    </xf>
    <xf numFmtId="164" fontId="13" fillId="4" borderId="10" xfId="0" applyFont="true" applyBorder="true" applyAlignment="true" applyProtection="false">
      <alignment horizontal="center" vertical="center" textRotation="0" wrapText="false" indent="0" shrinkToFit="false"/>
      <protection locked="true" hidden="false"/>
    </xf>
    <xf numFmtId="164" fontId="18" fillId="4" borderId="10" xfId="0" applyFont="true" applyBorder="true" applyAlignment="true" applyProtection="false">
      <alignment horizontal="center" vertical="center" textRotation="0" wrapText="false" indent="0" shrinkToFit="false"/>
      <protection locked="true" hidden="false"/>
    </xf>
    <xf numFmtId="165" fontId="18" fillId="4" borderId="10" xfId="0" applyFont="true" applyBorder="true" applyAlignment="true" applyProtection="false">
      <alignment horizontal="center" vertical="center" textRotation="0" wrapText="false" indent="0" shrinkToFit="false"/>
      <protection locked="true" hidden="false"/>
    </xf>
    <xf numFmtId="164" fontId="19" fillId="4" borderId="10" xfId="0" applyFont="true" applyBorder="true" applyAlignment="true" applyProtection="false">
      <alignment horizontal="center" vertical="center" textRotation="0" wrapText="false" indent="0" shrinkToFit="false"/>
      <protection locked="true" hidden="false"/>
    </xf>
    <xf numFmtId="165" fontId="17" fillId="4" borderId="10" xfId="0" applyFont="true" applyBorder="true" applyAlignment="true" applyProtection="false">
      <alignment horizontal="center" vertical="center" textRotation="0" wrapText="false" indent="0" shrinkToFit="false"/>
      <protection locked="true" hidden="false"/>
    </xf>
    <xf numFmtId="165" fontId="19" fillId="4" borderId="10" xfId="0" applyFont="true" applyBorder="true" applyAlignment="true" applyProtection="false">
      <alignment horizontal="center" vertical="center" textRotation="0" wrapText="false" indent="0" shrinkToFit="false"/>
      <protection locked="true" hidden="false"/>
    </xf>
    <xf numFmtId="165" fontId="14" fillId="4" borderId="11" xfId="0" applyFont="true" applyBorder="true" applyAlignment="true" applyProtection="false">
      <alignment horizontal="center" vertical="center" textRotation="0" wrapText="false" indent="0" shrinkToFit="false"/>
      <protection locked="true" hidden="false"/>
    </xf>
    <xf numFmtId="164" fontId="13" fillId="3" borderId="19" xfId="0" applyFont="true" applyBorder="true" applyAlignment="true" applyProtection="false">
      <alignment horizontal="center" vertical="center" textRotation="0" wrapText="false" indent="0" shrinkToFit="false"/>
      <protection locked="true" hidden="false"/>
    </xf>
    <xf numFmtId="170" fontId="17" fillId="2" borderId="7" xfId="15" applyFont="true" applyBorder="true" applyAlignment="true" applyProtection="true">
      <alignment horizontal="center" vertical="center" textRotation="0" wrapText="false" indent="0" shrinkToFit="false"/>
      <protection locked="true" hidden="false"/>
    </xf>
    <xf numFmtId="171" fontId="14" fillId="2" borderId="7" xfId="15" applyFont="true" applyBorder="true" applyAlignment="true" applyProtection="true">
      <alignment horizontal="center" vertical="center" textRotation="0" wrapText="false" indent="0" shrinkToFit="false"/>
      <protection locked="true" hidden="false"/>
    </xf>
    <xf numFmtId="170" fontId="14" fillId="2" borderId="8" xfId="15" applyFont="true" applyBorder="true" applyAlignment="true" applyProtection="true">
      <alignment horizontal="center" vertical="center" textRotation="0" wrapText="false" indent="0" shrinkToFit="false"/>
      <protection locked="true" hidden="false"/>
    </xf>
    <xf numFmtId="165" fontId="14" fillId="2" borderId="7" xfId="0" applyFont="true" applyBorder="true" applyAlignment="true" applyProtection="false">
      <alignment horizontal="center" vertical="center" textRotation="0" wrapText="false" indent="0" shrinkToFit="false"/>
      <protection locked="true" hidden="false"/>
    </xf>
    <xf numFmtId="170" fontId="20" fillId="4" borderId="10" xfId="15" applyFont="true" applyBorder="true" applyAlignment="true" applyProtection="true">
      <alignment horizontal="center" vertical="center" textRotation="0" wrapText="false" indent="0" shrinkToFit="false"/>
      <protection locked="true" hidden="false"/>
    </xf>
    <xf numFmtId="170" fontId="17" fillId="4" borderId="10" xfId="15" applyFont="true" applyBorder="true" applyAlignment="true" applyProtection="true">
      <alignment horizontal="center" vertical="center" textRotation="0" wrapText="false" indent="0" shrinkToFit="false"/>
      <protection locked="true" hidden="false"/>
    </xf>
    <xf numFmtId="170" fontId="14" fillId="4" borderId="10" xfId="15" applyFont="true" applyBorder="true" applyAlignment="true" applyProtection="true">
      <alignment horizontal="center" vertical="center" textRotation="0" wrapText="false" indent="0" shrinkToFit="false"/>
      <protection locked="true" hidden="false"/>
    </xf>
    <xf numFmtId="170" fontId="14" fillId="4" borderId="11" xfId="15" applyFont="true" applyBorder="true" applyAlignment="true" applyProtection="true">
      <alignment horizontal="center" vertical="center" textRotation="0" wrapText="false" indent="0" shrinkToFit="false"/>
      <protection locked="true" hidden="false"/>
    </xf>
    <xf numFmtId="164" fontId="13" fillId="3" borderId="12" xfId="0" applyFont="true" applyBorder="true" applyAlignment="true" applyProtection="false">
      <alignment horizontal="center" vertical="center" textRotation="0" wrapText="false" indent="0" shrinkToFit="false"/>
      <protection locked="true" hidden="false"/>
    </xf>
    <xf numFmtId="164" fontId="14" fillId="3" borderId="13" xfId="0" applyFont="true" applyBorder="true" applyAlignment="true" applyProtection="false">
      <alignment horizontal="center" vertical="center" textRotation="0" wrapText="false" indent="0" shrinkToFit="false"/>
      <protection locked="true" hidden="false"/>
    </xf>
    <xf numFmtId="164" fontId="14" fillId="3" borderId="26" xfId="0" applyFont="true" applyBorder="true" applyAlignment="true" applyProtection="false">
      <alignment horizontal="center" vertical="center" textRotation="0" wrapText="false" indent="0" shrinkToFit="false"/>
      <protection locked="true" hidden="false"/>
    </xf>
    <xf numFmtId="170" fontId="17" fillId="2" borderId="7" xfId="15" applyFont="true" applyBorder="true" applyAlignment="true" applyProtection="true">
      <alignment horizontal="general" vertical="center" textRotation="0" wrapText="false" indent="0" shrinkToFit="false"/>
      <protection locked="true" hidden="false"/>
    </xf>
    <xf numFmtId="164" fontId="14" fillId="2" borderId="27" xfId="0" applyFont="true" applyBorder="true" applyAlignment="true" applyProtection="false">
      <alignment horizontal="center" vertical="center" textRotation="0" wrapText="false" indent="0" shrinkToFit="false"/>
      <protection locked="true" hidden="false"/>
    </xf>
    <xf numFmtId="164" fontId="14" fillId="2" borderId="28" xfId="0" applyFont="true" applyBorder="true" applyAlignment="true" applyProtection="false">
      <alignment horizontal="center" vertical="center" textRotation="0" wrapText="false" indent="0" shrinkToFit="false"/>
      <protection locked="true" hidden="false"/>
    </xf>
    <xf numFmtId="170" fontId="17" fillId="2" borderId="28" xfId="15" applyFont="true" applyBorder="true" applyAlignment="true" applyProtection="true">
      <alignment horizontal="general" vertical="center" textRotation="0" wrapText="false" indent="0" shrinkToFit="false"/>
      <protection locked="true" hidden="false"/>
    </xf>
    <xf numFmtId="170" fontId="17" fillId="2" borderId="28" xfId="15" applyFont="true" applyBorder="true" applyAlignment="true" applyProtection="true">
      <alignment horizontal="center" vertical="center" textRotation="0" wrapText="false" indent="0" shrinkToFit="false"/>
      <protection locked="true" hidden="false"/>
    </xf>
    <xf numFmtId="170" fontId="19" fillId="4" borderId="10" xfId="15" applyFont="true" applyBorder="true" applyAlignment="true" applyProtection="true">
      <alignment horizontal="center" vertical="center"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13" fillId="3" borderId="3" xfId="0" applyFont="true" applyBorder="true" applyAlignment="true" applyProtection="false">
      <alignment horizontal="left" vertical="center" textRotation="0" wrapText="false" indent="0" shrinkToFit="false"/>
      <protection locked="true" hidden="false"/>
    </xf>
    <xf numFmtId="164" fontId="14" fillId="3" borderId="5" xfId="0" applyFont="true" applyBorder="true" applyAlignment="true" applyProtection="false">
      <alignment horizontal="center" vertical="center" textRotation="0" wrapText="false" indent="0" shrinkToFit="false"/>
      <protection locked="true" hidden="false"/>
    </xf>
    <xf numFmtId="164" fontId="14" fillId="2" borderId="12" xfId="0" applyFont="true" applyBorder="true" applyAlignment="true" applyProtection="false">
      <alignment horizontal="center" vertical="center" textRotation="0" wrapText="false" indent="0" shrinkToFit="false"/>
      <protection locked="true" hidden="false"/>
    </xf>
    <xf numFmtId="164" fontId="14" fillId="2" borderId="13" xfId="0" applyFont="true" applyBorder="true" applyAlignment="true" applyProtection="false">
      <alignment horizontal="center" vertical="center" textRotation="0" wrapText="false" indent="0" shrinkToFit="false"/>
      <protection locked="true" hidden="false"/>
    </xf>
    <xf numFmtId="164" fontId="14" fillId="2" borderId="26" xfId="0" applyFont="true" applyBorder="true" applyAlignment="true" applyProtection="false">
      <alignment horizontal="center" vertical="center" textRotation="0" wrapText="false" indent="0" shrinkToFit="false"/>
      <protection locked="true" hidden="false"/>
    </xf>
    <xf numFmtId="164" fontId="15" fillId="2" borderId="0" xfId="0" applyFont="true" applyBorder="false" applyAlignment="false" applyProtection="false">
      <alignment horizontal="general" vertical="bottom" textRotation="0" wrapText="false" indent="0" shrinkToFit="false"/>
      <protection locked="true" hidden="false"/>
    </xf>
    <xf numFmtId="164" fontId="14" fillId="2" borderId="6" xfId="0" applyFont="true" applyBorder="true" applyAlignment="false" applyProtection="false">
      <alignment horizontal="general" vertical="bottom" textRotation="0" wrapText="false" indent="0" shrinkToFit="false"/>
      <protection locked="true" hidden="false"/>
    </xf>
    <xf numFmtId="164" fontId="14" fillId="2" borderId="17" xfId="0" applyFont="true" applyBorder="true" applyAlignment="true" applyProtection="false">
      <alignment horizontal="center" vertical="center" textRotation="0" wrapText="false" indent="0" shrinkToFit="false"/>
      <protection locked="true" hidden="false"/>
    </xf>
    <xf numFmtId="170" fontId="13" fillId="4" borderId="8" xfId="15" applyFont="true" applyBorder="true" applyAlignment="true" applyProtection="true">
      <alignment horizontal="center" vertical="center" textRotation="0" wrapText="false" indent="0" shrinkToFit="false"/>
      <protection locked="true" hidden="false"/>
    </xf>
    <xf numFmtId="164" fontId="14" fillId="2" borderId="14"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true" applyAlignment="true" applyProtection="false">
      <alignment horizontal="general" vertical="center" textRotation="0" wrapText="false" indent="0" shrinkToFit="false"/>
      <protection locked="true" hidden="false"/>
    </xf>
    <xf numFmtId="164" fontId="13" fillId="2" borderId="9" xfId="0" applyFont="true" applyBorder="true" applyAlignment="true" applyProtection="false">
      <alignment horizontal="center" vertical="center" textRotation="0" wrapText="false" indent="0" shrinkToFit="false"/>
      <protection locked="true" hidden="false"/>
    </xf>
    <xf numFmtId="170" fontId="13" fillId="4" borderId="11" xfId="15" applyFont="true" applyBorder="true" applyAlignment="true" applyProtection="true">
      <alignment horizontal="center" vertical="center" textRotation="0" wrapText="false" indent="0" shrinkToFit="false"/>
      <protection locked="true" hidden="false"/>
    </xf>
    <xf numFmtId="164" fontId="14" fillId="2" borderId="15" xfId="0" applyFont="true" applyBorder="true" applyAlignment="true" applyProtection="false">
      <alignment horizontal="general" vertical="center" textRotation="0" wrapText="false" indent="0" shrinkToFit="false"/>
      <protection locked="true" hidden="false"/>
    </xf>
    <xf numFmtId="164" fontId="14" fillId="2" borderId="16" xfId="0" applyFont="true" applyBorder="true" applyAlignment="true" applyProtection="false">
      <alignment horizontal="general" vertical="center" textRotation="0" wrapText="false" indent="0" shrinkToFit="false"/>
      <protection locked="true" hidden="false"/>
    </xf>
    <xf numFmtId="164" fontId="14" fillId="2" borderId="18"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13" fillId="3" borderId="20" xfId="0" applyFont="true" applyBorder="true" applyAlignment="true" applyProtection="false">
      <alignment horizontal="center" vertical="center" textRotation="0" wrapText="false" indent="0" shrinkToFit="false"/>
      <protection locked="true" hidden="false"/>
    </xf>
    <xf numFmtId="164" fontId="13" fillId="3" borderId="21" xfId="0" applyFont="true" applyBorder="true" applyAlignment="true" applyProtection="false">
      <alignment horizontal="center" vertical="center" textRotation="0" wrapText="false" indent="0" shrinkToFit="false"/>
      <protection locked="true" hidden="false"/>
    </xf>
    <xf numFmtId="164" fontId="13" fillId="2" borderId="0" xfId="0" applyFont="true" applyBorder="true" applyAlignment="true" applyProtection="false">
      <alignment horizontal="center" vertical="center" textRotation="0" wrapText="false" indent="0" shrinkToFit="false"/>
      <protection locked="true" hidden="false"/>
    </xf>
    <xf numFmtId="164" fontId="21" fillId="2" borderId="0" xfId="0" applyFont="true" applyBorder="true" applyAlignment="true" applyProtection="false">
      <alignment horizontal="center" vertical="center"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14" fillId="2" borderId="3" xfId="0" applyFont="true" applyBorder="true" applyAlignment="true" applyProtection="false">
      <alignment horizontal="center" vertical="center" textRotation="0" wrapText="false" indent="0" shrinkToFit="false"/>
      <protection locked="true" hidden="false"/>
    </xf>
    <xf numFmtId="164" fontId="13" fillId="2" borderId="4" xfId="0" applyFont="true" applyBorder="true" applyAlignment="true" applyProtection="false">
      <alignment horizontal="center" vertical="center" textRotation="0" wrapText="true" indent="0" shrinkToFit="false"/>
      <protection locked="true" hidden="false"/>
    </xf>
    <xf numFmtId="164" fontId="13" fillId="5" borderId="4" xfId="0" applyFont="true" applyBorder="true" applyAlignment="true" applyProtection="false">
      <alignment horizontal="center" vertical="center" textRotation="0" wrapText="true" indent="0" shrinkToFit="false"/>
      <protection locked="true" hidden="false"/>
    </xf>
    <xf numFmtId="164" fontId="13" fillId="6" borderId="4" xfId="0" applyFont="true" applyBorder="true" applyAlignment="true" applyProtection="false">
      <alignment horizontal="center" vertical="center" textRotation="0" wrapText="false" indent="0" shrinkToFit="false"/>
      <protection locked="true" hidden="false"/>
    </xf>
    <xf numFmtId="164" fontId="13" fillId="7" borderId="4" xfId="0" applyFont="true" applyBorder="true" applyAlignment="true" applyProtection="false">
      <alignment horizontal="center" vertical="center" textRotation="0" wrapText="false" indent="0" shrinkToFit="false"/>
      <protection locked="true" hidden="false"/>
    </xf>
    <xf numFmtId="164" fontId="13" fillId="2" borderId="5" xfId="0" applyFont="true" applyBorder="true" applyAlignment="true" applyProtection="false">
      <alignment horizontal="general" vertical="center" textRotation="0" wrapText="true" indent="0" shrinkToFit="false"/>
      <protection locked="true" hidden="false"/>
    </xf>
    <xf numFmtId="164" fontId="13" fillId="5" borderId="7" xfId="0" applyFont="true" applyBorder="true" applyAlignment="true" applyProtection="false">
      <alignment horizontal="center" vertical="center" textRotation="0" wrapText="false" indent="0" shrinkToFit="false"/>
      <protection locked="true" hidden="false"/>
    </xf>
    <xf numFmtId="164" fontId="13" fillId="6" borderId="7" xfId="0" applyFont="true" applyBorder="true" applyAlignment="true" applyProtection="false">
      <alignment horizontal="center" vertical="center" textRotation="0" wrapText="false" indent="0" shrinkToFit="false"/>
      <protection locked="true" hidden="false"/>
    </xf>
    <xf numFmtId="164" fontId="13" fillId="7" borderId="7" xfId="0" applyFont="true" applyBorder="true" applyAlignment="true" applyProtection="false">
      <alignment horizontal="center" vertical="center" textRotation="0" wrapText="false" indent="0" shrinkToFit="false"/>
      <protection locked="true" hidden="false"/>
    </xf>
    <xf numFmtId="164" fontId="13" fillId="2" borderId="6" xfId="0" applyFont="true" applyBorder="true" applyAlignment="true" applyProtection="false">
      <alignment horizontal="center" vertical="center" textRotation="0" wrapText="true" indent="0" shrinkToFit="false"/>
      <protection locked="true" hidden="false"/>
    </xf>
    <xf numFmtId="164" fontId="14" fillId="5" borderId="7" xfId="0" applyFont="true" applyBorder="true" applyAlignment="true" applyProtection="false">
      <alignment horizontal="center" vertical="center" textRotation="0" wrapText="false" indent="0" shrinkToFit="false"/>
      <protection locked="true" hidden="false"/>
    </xf>
    <xf numFmtId="164" fontId="14" fillId="6" borderId="7" xfId="0" applyFont="true" applyBorder="true" applyAlignment="true" applyProtection="false">
      <alignment horizontal="center" vertical="center" textRotation="0" wrapText="false" indent="0" shrinkToFit="false"/>
      <protection locked="true" hidden="false"/>
    </xf>
    <xf numFmtId="172" fontId="14" fillId="6" borderId="7" xfId="0" applyFont="true" applyBorder="true" applyAlignment="true" applyProtection="false">
      <alignment horizontal="center" vertical="center" textRotation="0" wrapText="false" indent="0" shrinkToFit="false"/>
      <protection locked="true" hidden="false"/>
    </xf>
    <xf numFmtId="164" fontId="14" fillId="7" borderId="7" xfId="0" applyFont="true" applyBorder="true" applyAlignment="true" applyProtection="false">
      <alignment horizontal="center" vertical="center" textRotation="0" wrapText="false" indent="0" shrinkToFit="false"/>
      <protection locked="true" hidden="false"/>
    </xf>
    <xf numFmtId="164" fontId="23" fillId="2" borderId="0" xfId="0" applyFont="true" applyBorder="true" applyAlignment="true" applyProtection="false">
      <alignment horizontal="center" vertical="center" textRotation="0" wrapText="false" indent="0" shrinkToFit="false"/>
      <protection locked="true" hidden="false"/>
    </xf>
    <xf numFmtId="164" fontId="14" fillId="5" borderId="10" xfId="0" applyFont="true" applyBorder="true" applyAlignment="true" applyProtection="false">
      <alignment horizontal="center" vertical="center" textRotation="0" wrapText="false" indent="0" shrinkToFit="false"/>
      <protection locked="true" hidden="false"/>
    </xf>
    <xf numFmtId="164" fontId="13" fillId="5" borderId="10" xfId="0" applyFont="true" applyBorder="true" applyAlignment="true" applyProtection="false">
      <alignment horizontal="center" vertical="center" textRotation="0" wrapText="false" indent="0" shrinkToFit="false"/>
      <protection locked="true" hidden="false"/>
    </xf>
    <xf numFmtId="164" fontId="14" fillId="6" borderId="10" xfId="0" applyFont="true" applyBorder="true" applyAlignment="true" applyProtection="false">
      <alignment horizontal="center" vertical="center" textRotation="0" wrapText="false" indent="0" shrinkToFit="false"/>
      <protection locked="true" hidden="false"/>
    </xf>
    <xf numFmtId="164" fontId="13" fillId="6" borderId="10" xfId="0" applyFont="true" applyBorder="true" applyAlignment="true" applyProtection="false">
      <alignment horizontal="center" vertical="center" textRotation="0" wrapText="false" indent="0" shrinkToFit="false"/>
      <protection locked="true" hidden="false"/>
    </xf>
    <xf numFmtId="164" fontId="14" fillId="7" borderId="10" xfId="0" applyFont="true" applyBorder="true" applyAlignment="true" applyProtection="false">
      <alignment horizontal="center" vertical="center" textRotation="0" wrapText="false" indent="0" shrinkToFit="false"/>
      <protection locked="true" hidden="false"/>
    </xf>
    <xf numFmtId="164" fontId="13" fillId="4" borderId="11" xfId="0" applyFont="true" applyBorder="true" applyAlignment="true" applyProtection="false">
      <alignment horizontal="center" vertical="center" textRotation="0" wrapText="false" indent="0" shrinkToFit="false"/>
      <protection locked="true" hidden="false"/>
    </xf>
    <xf numFmtId="164" fontId="24" fillId="2" borderId="0" xfId="0" applyFont="true" applyBorder="false" applyAlignment="false" applyProtection="false">
      <alignment horizontal="general" vertical="bottom" textRotation="0" wrapText="false" indent="0" shrinkToFit="false"/>
      <protection locked="true" hidden="false"/>
    </xf>
    <xf numFmtId="164" fontId="21" fillId="3" borderId="20" xfId="0" applyFont="true" applyBorder="true" applyAlignment="true" applyProtection="false">
      <alignment horizontal="center" vertical="center" textRotation="0" wrapText="false" indent="0" shrinkToFit="false"/>
      <protection locked="true" hidden="false"/>
    </xf>
    <xf numFmtId="164" fontId="25" fillId="3" borderId="21" xfId="0" applyFont="true" applyBorder="true" applyAlignment="false" applyProtection="false">
      <alignment horizontal="general" vertical="bottom" textRotation="0" wrapText="false" indent="0" shrinkToFit="false"/>
      <protection locked="true" hidden="false"/>
    </xf>
    <xf numFmtId="164" fontId="24" fillId="2" borderId="0" xfId="0" applyFont="true" applyBorder="true" applyAlignment="false" applyProtection="false">
      <alignment horizontal="general" vertical="bottom" textRotation="0" wrapText="false" indent="0" shrinkToFit="false"/>
      <protection locked="true" hidden="false"/>
    </xf>
    <xf numFmtId="164" fontId="14" fillId="2" borderId="24" xfId="0" applyFont="true" applyBorder="true" applyAlignment="true" applyProtection="false">
      <alignment horizontal="center" vertical="center" textRotation="0" wrapText="false" indent="0" shrinkToFit="false"/>
      <protection locked="true" hidden="false"/>
    </xf>
    <xf numFmtId="173" fontId="20" fillId="0" borderId="22" xfId="0" applyFont="true" applyBorder="true" applyAlignment="true" applyProtection="true">
      <alignment horizontal="center" vertical="center" textRotation="0" wrapText="true" indent="0" shrinkToFit="false"/>
      <protection locked="true" hidden="false"/>
    </xf>
    <xf numFmtId="173" fontId="20" fillId="7" borderId="4" xfId="0" applyFont="true" applyBorder="true" applyAlignment="true" applyProtection="true">
      <alignment horizontal="center" vertical="bottom" textRotation="0" wrapText="true" indent="0" shrinkToFit="false"/>
      <protection locked="true" hidden="false"/>
    </xf>
    <xf numFmtId="173" fontId="20" fillId="8" borderId="4" xfId="0" applyFont="true" applyBorder="true" applyAlignment="true" applyProtection="true">
      <alignment horizontal="center" vertical="bottom" textRotation="0" wrapText="true" indent="0" shrinkToFit="false"/>
      <protection locked="true" hidden="false"/>
    </xf>
    <xf numFmtId="164" fontId="13" fillId="9" borderId="22" xfId="0" applyFont="true" applyBorder="true" applyAlignment="true" applyProtection="false">
      <alignment horizontal="center" vertical="center" textRotation="0" wrapText="false" indent="0" shrinkToFit="false"/>
      <protection locked="true" hidden="false"/>
    </xf>
    <xf numFmtId="164" fontId="21" fillId="10" borderId="4" xfId="0" applyFont="true" applyBorder="true" applyAlignment="true" applyProtection="false">
      <alignment horizontal="center" vertical="center" textRotation="0" wrapText="true" indent="0" shrinkToFit="false"/>
      <protection locked="true" hidden="false"/>
    </xf>
    <xf numFmtId="164" fontId="21" fillId="11" borderId="4" xfId="0" applyFont="true" applyBorder="true" applyAlignment="true" applyProtection="false">
      <alignment horizontal="center" vertical="center" textRotation="0" wrapText="true" indent="0" shrinkToFit="false"/>
      <protection locked="true" hidden="false"/>
    </xf>
    <xf numFmtId="164" fontId="21" fillId="2" borderId="23" xfId="0" applyFont="true" applyBorder="true" applyAlignment="true" applyProtection="false">
      <alignment horizontal="general" vertical="center" textRotation="0" wrapText="true" indent="0" shrinkToFit="false"/>
      <protection locked="true" hidden="false"/>
    </xf>
    <xf numFmtId="173" fontId="13" fillId="8" borderId="7" xfId="0" applyFont="true" applyBorder="true" applyAlignment="true" applyProtection="true">
      <alignment horizontal="center" vertical="bottom" textRotation="0" wrapText="false" indent="0" shrinkToFit="false"/>
      <protection locked="true" hidden="false"/>
    </xf>
    <xf numFmtId="164" fontId="13" fillId="9" borderId="7" xfId="0" applyFont="true" applyBorder="true" applyAlignment="true" applyProtection="false">
      <alignment horizontal="center" vertical="center" textRotation="0" wrapText="false" indent="0" shrinkToFit="false"/>
      <protection locked="true" hidden="false"/>
    </xf>
    <xf numFmtId="164" fontId="13" fillId="10" borderId="7" xfId="0" applyFont="true" applyBorder="true" applyAlignment="true" applyProtection="false">
      <alignment horizontal="center" vertical="center" textRotation="0" wrapText="false" indent="0" shrinkToFit="false"/>
      <protection locked="true" hidden="false"/>
    </xf>
    <xf numFmtId="164" fontId="13" fillId="11" borderId="7" xfId="0" applyFont="true" applyBorder="true" applyAlignment="true" applyProtection="false">
      <alignment horizontal="center" vertical="center" textRotation="0" wrapText="false" indent="0" shrinkToFit="false"/>
      <protection locked="true" hidden="false"/>
    </xf>
    <xf numFmtId="173" fontId="14" fillId="0" borderId="7" xfId="0" applyFont="true" applyBorder="true" applyAlignment="true" applyProtection="true">
      <alignment horizontal="center" vertical="bottom" textRotation="0" wrapText="false" indent="0" shrinkToFit="false"/>
      <protection locked="true" hidden="false"/>
    </xf>
    <xf numFmtId="173" fontId="14" fillId="7" borderId="7" xfId="0" applyFont="true" applyBorder="true" applyAlignment="true" applyProtection="true">
      <alignment horizontal="center" vertical="bottom" textRotation="0" wrapText="false" indent="0" shrinkToFit="false"/>
      <protection locked="true" hidden="false"/>
    </xf>
    <xf numFmtId="173" fontId="14" fillId="8" borderId="7" xfId="0" applyFont="true" applyBorder="true" applyAlignment="true" applyProtection="true">
      <alignment horizontal="center" vertical="bottom" textRotation="0" wrapText="false" indent="0" shrinkToFit="false"/>
      <protection locked="true" hidden="false"/>
    </xf>
    <xf numFmtId="164" fontId="14" fillId="9" borderId="7" xfId="0" applyFont="true" applyBorder="true" applyAlignment="true" applyProtection="false">
      <alignment horizontal="center" vertical="center" textRotation="0" wrapText="false" indent="0" shrinkToFit="false"/>
      <protection locked="true" hidden="false"/>
    </xf>
    <xf numFmtId="164" fontId="14" fillId="10" borderId="7" xfId="0" applyFont="true" applyBorder="true" applyAlignment="true" applyProtection="false">
      <alignment horizontal="center" vertical="center" textRotation="0" wrapText="false" indent="0" shrinkToFit="false"/>
      <protection locked="true" hidden="false"/>
    </xf>
    <xf numFmtId="164" fontId="15" fillId="10" borderId="7" xfId="0" applyFont="true" applyBorder="true" applyAlignment="true" applyProtection="false">
      <alignment horizontal="center" vertical="center" textRotation="0" wrapText="false" indent="0" shrinkToFit="false"/>
      <protection locked="true" hidden="false"/>
    </xf>
    <xf numFmtId="164" fontId="15" fillId="11" borderId="7" xfId="0" applyFont="true" applyBorder="true" applyAlignment="true" applyProtection="false">
      <alignment horizontal="center" vertical="center" textRotation="0" wrapText="false" indent="0" shrinkToFit="false"/>
      <protection locked="true" hidden="false"/>
    </xf>
    <xf numFmtId="164" fontId="16" fillId="2" borderId="8" xfId="0" applyFont="true" applyBorder="true" applyAlignment="false" applyProtection="false">
      <alignment horizontal="general" vertical="bottom" textRotation="0" wrapText="false" indent="0" shrinkToFit="false"/>
      <protection locked="true" hidden="false"/>
    </xf>
    <xf numFmtId="173" fontId="17" fillId="0" borderId="7" xfId="0" applyFont="true" applyBorder="true" applyAlignment="true" applyProtection="true">
      <alignment horizontal="center" vertical="bottom" textRotation="0" wrapText="false" indent="0" shrinkToFit="false"/>
      <protection locked="true" hidden="false"/>
    </xf>
    <xf numFmtId="173" fontId="17" fillId="7" borderId="7" xfId="0" applyFont="true" applyBorder="true" applyAlignment="true" applyProtection="true">
      <alignment horizontal="center" vertical="bottom" textRotation="0" wrapText="false" indent="0" shrinkToFit="false"/>
      <protection locked="true" hidden="false"/>
    </xf>
    <xf numFmtId="165" fontId="17" fillId="7" borderId="7" xfId="0" applyFont="true" applyBorder="true" applyAlignment="false" applyProtection="false">
      <alignment horizontal="general" vertical="bottom" textRotation="0" wrapText="false" indent="0" shrinkToFit="false"/>
      <protection locked="true" hidden="false"/>
    </xf>
    <xf numFmtId="168" fontId="17" fillId="8" borderId="7" xfId="0" applyFont="true" applyBorder="true" applyAlignment="false" applyProtection="false">
      <alignment horizontal="general" vertical="bottom" textRotation="0" wrapText="false" indent="0" shrinkToFit="false"/>
      <protection locked="true" hidden="false"/>
    </xf>
    <xf numFmtId="165" fontId="17" fillId="8" borderId="7" xfId="0" applyFont="true" applyBorder="true" applyAlignment="true" applyProtection="false">
      <alignment horizontal="center" vertical="bottom" textRotation="0" wrapText="false" indent="0" shrinkToFit="false"/>
      <protection locked="true" hidden="false"/>
    </xf>
    <xf numFmtId="164" fontId="17" fillId="9" borderId="7" xfId="0" applyFont="true" applyBorder="true" applyAlignment="true" applyProtection="false">
      <alignment horizontal="center" vertical="center" textRotation="0" wrapText="false" indent="0" shrinkToFit="false"/>
      <protection locked="true" hidden="false"/>
    </xf>
    <xf numFmtId="164" fontId="17" fillId="10" borderId="7" xfId="0" applyFont="true" applyBorder="true" applyAlignment="true" applyProtection="false">
      <alignment horizontal="center" vertical="center" textRotation="0" wrapText="false" indent="0" shrinkToFit="false"/>
      <protection locked="true" hidden="false"/>
    </xf>
    <xf numFmtId="164" fontId="16" fillId="10" borderId="7" xfId="0" applyFont="true" applyBorder="true" applyAlignment="true" applyProtection="false">
      <alignment horizontal="center" vertical="center" textRotation="0" wrapText="false" indent="0" shrinkToFit="false"/>
      <protection locked="true" hidden="false"/>
    </xf>
    <xf numFmtId="164" fontId="16" fillId="11" borderId="7" xfId="0" applyFont="true" applyBorder="true" applyAlignment="true" applyProtection="false">
      <alignment horizontal="center" vertical="center" textRotation="0" wrapText="false" indent="0" shrinkToFit="false"/>
      <protection locked="true" hidden="false"/>
    </xf>
    <xf numFmtId="165" fontId="22" fillId="11" borderId="7" xfId="0" applyFont="true" applyBorder="true" applyAlignment="true" applyProtection="false">
      <alignment horizontal="center" vertical="center" textRotation="0" wrapText="false" indent="0" shrinkToFit="false"/>
      <protection locked="true" hidden="false"/>
    </xf>
    <xf numFmtId="165" fontId="22" fillId="2" borderId="8" xfId="0" applyFont="true" applyBorder="true" applyAlignment="true" applyProtection="false">
      <alignment horizontal="center" vertical="center" textRotation="0" wrapText="false" indent="0" shrinkToFit="false"/>
      <protection locked="true" hidden="false"/>
    </xf>
    <xf numFmtId="173" fontId="17" fillId="0" borderId="6" xfId="0" applyFont="true" applyBorder="true" applyAlignment="true" applyProtection="true">
      <alignment horizontal="left" vertical="bottom" textRotation="0" wrapText="false" indent="0" shrinkToFit="false"/>
      <protection locked="true" hidden="false"/>
    </xf>
    <xf numFmtId="165" fontId="17" fillId="7" borderId="7" xfId="0" applyFont="true" applyBorder="true" applyAlignment="true" applyProtection="true">
      <alignment horizontal="center" vertical="bottom" textRotation="0" wrapText="false" indent="0" shrinkToFit="false"/>
      <protection locked="true" hidden="false"/>
    </xf>
    <xf numFmtId="171" fontId="17" fillId="8" borderId="7" xfId="0" applyFont="true" applyBorder="true" applyAlignment="true" applyProtection="true">
      <alignment horizontal="center" vertical="bottom" textRotation="0" wrapText="false" indent="0" shrinkToFit="false"/>
      <protection locked="true" hidden="false"/>
    </xf>
    <xf numFmtId="165" fontId="17" fillId="8" borderId="7" xfId="0" applyFont="true" applyBorder="true" applyAlignment="true" applyProtection="true">
      <alignment horizontal="center" vertical="bottom" textRotation="0" wrapText="false" indent="0" shrinkToFit="false"/>
      <protection locked="true" hidden="false"/>
    </xf>
    <xf numFmtId="165" fontId="16" fillId="11" borderId="7" xfId="0" applyFont="true" applyBorder="true" applyAlignment="true" applyProtection="false">
      <alignment horizontal="center" vertical="center" textRotation="0" wrapText="false" indent="0" shrinkToFit="false"/>
      <protection locked="true" hidden="false"/>
    </xf>
    <xf numFmtId="165" fontId="16" fillId="2" borderId="8" xfId="0" applyFont="true" applyBorder="true" applyAlignment="true" applyProtection="false">
      <alignment horizontal="center" vertical="center" textRotation="0" wrapText="false" indent="0" shrinkToFit="false"/>
      <protection locked="true" hidden="false"/>
    </xf>
    <xf numFmtId="164" fontId="17" fillId="0" borderId="6" xfId="0" applyFont="true" applyBorder="true" applyAlignment="false" applyProtection="false">
      <alignment horizontal="general" vertical="bottom" textRotation="0" wrapText="false" indent="0" shrinkToFit="false"/>
      <protection locked="true" hidden="false"/>
    </xf>
    <xf numFmtId="164" fontId="20" fillId="2" borderId="7" xfId="0" applyFont="true" applyBorder="true" applyAlignment="true" applyProtection="false">
      <alignment horizontal="center" vertical="center" textRotation="0" wrapText="false" indent="0" shrinkToFit="false"/>
      <protection locked="true" hidden="false"/>
    </xf>
    <xf numFmtId="164" fontId="17" fillId="2" borderId="7" xfId="0" applyFont="true" applyBorder="true" applyAlignment="false" applyProtection="false">
      <alignment horizontal="general" vertical="bottom" textRotation="0" wrapText="false" indent="0" shrinkToFit="false"/>
      <protection locked="true" hidden="false"/>
    </xf>
    <xf numFmtId="164" fontId="17" fillId="2" borderId="7" xfId="0" applyFont="true" applyBorder="true" applyAlignment="true" applyProtection="false">
      <alignment horizontal="center" vertical="bottom" textRotation="0" wrapText="false" indent="0" shrinkToFit="false"/>
      <protection locked="true" hidden="false"/>
    </xf>
    <xf numFmtId="164" fontId="17" fillId="7" borderId="7" xfId="0" applyFont="true" applyBorder="true" applyAlignment="false" applyProtection="false">
      <alignment horizontal="general" vertical="bottom" textRotation="0" wrapText="false" indent="0" shrinkToFit="false"/>
      <protection locked="true" hidden="false"/>
    </xf>
    <xf numFmtId="164" fontId="17" fillId="8" borderId="7" xfId="0" applyFont="true" applyBorder="true" applyAlignment="false" applyProtection="false">
      <alignment horizontal="general" vertical="bottom" textRotation="0" wrapText="false" indent="0" shrinkToFit="false"/>
      <protection locked="true" hidden="false"/>
    </xf>
    <xf numFmtId="165" fontId="20" fillId="9" borderId="7" xfId="0" applyFont="true" applyBorder="true" applyAlignment="true" applyProtection="false">
      <alignment horizontal="center" vertical="center" textRotation="0" wrapText="false" indent="0" shrinkToFit="false"/>
      <protection locked="true" hidden="false"/>
    </xf>
    <xf numFmtId="164" fontId="22" fillId="10" borderId="7" xfId="0" applyFont="true" applyBorder="true" applyAlignment="true" applyProtection="false">
      <alignment horizontal="center" vertical="center" textRotation="0" wrapText="false" indent="0" shrinkToFit="false"/>
      <protection locked="true" hidden="false"/>
    </xf>
    <xf numFmtId="164" fontId="14" fillId="2" borderId="6" xfId="0" applyFont="true" applyBorder="true" applyAlignment="true" applyProtection="false">
      <alignment horizontal="left" vertical="center" textRotation="0" wrapText="false" indent="0" shrinkToFit="false"/>
      <protection locked="true" hidden="false"/>
    </xf>
    <xf numFmtId="171" fontId="20" fillId="8" borderId="7" xfId="0" applyFont="true" applyBorder="true" applyAlignment="true" applyProtection="true">
      <alignment horizontal="center" vertical="bottom" textRotation="0" wrapText="false" indent="0" shrinkToFit="false"/>
      <protection locked="true" hidden="false"/>
    </xf>
    <xf numFmtId="165" fontId="17" fillId="9" borderId="7" xfId="0" applyFont="true" applyBorder="true" applyAlignment="true" applyProtection="false">
      <alignment horizontal="center" vertical="center" textRotation="0" wrapText="false" indent="0" shrinkToFit="false"/>
      <protection locked="true" hidden="false"/>
    </xf>
    <xf numFmtId="164" fontId="14" fillId="2" borderId="6" xfId="0" applyFont="true" applyBorder="true" applyAlignment="true" applyProtection="false">
      <alignment horizontal="left" vertical="bottom" textRotation="0" wrapText="false" indent="0" shrinkToFit="false"/>
      <protection locked="true" hidden="false"/>
    </xf>
    <xf numFmtId="173" fontId="17" fillId="4" borderId="10" xfId="0" applyFont="true" applyBorder="true" applyAlignment="true" applyProtection="true">
      <alignment horizontal="center" vertical="bottom" textRotation="0" wrapText="false" indent="0" shrinkToFit="false"/>
      <protection locked="true" hidden="false"/>
    </xf>
    <xf numFmtId="173" fontId="17" fillId="7" borderId="10" xfId="0" applyFont="true" applyBorder="true" applyAlignment="true" applyProtection="true">
      <alignment horizontal="center" vertical="bottom" textRotation="0" wrapText="false" indent="0" shrinkToFit="false"/>
      <protection locked="true" hidden="false"/>
    </xf>
    <xf numFmtId="171" fontId="17" fillId="8" borderId="10" xfId="0" applyFont="true" applyBorder="true" applyAlignment="true" applyProtection="true">
      <alignment horizontal="center" vertical="bottom" textRotation="0" wrapText="false" indent="0" shrinkToFit="false"/>
      <protection locked="true" hidden="false"/>
    </xf>
    <xf numFmtId="164" fontId="17" fillId="9" borderId="10" xfId="0" applyFont="true" applyBorder="true" applyAlignment="true" applyProtection="false">
      <alignment horizontal="center" vertical="center" textRotation="0" wrapText="false" indent="0" shrinkToFit="false"/>
      <protection locked="true" hidden="false"/>
    </xf>
    <xf numFmtId="164" fontId="20" fillId="9" borderId="10" xfId="0" applyFont="true" applyBorder="true" applyAlignment="true" applyProtection="false">
      <alignment horizontal="center" vertical="center" textRotation="0" wrapText="false" indent="0" shrinkToFit="false"/>
      <protection locked="true" hidden="false"/>
    </xf>
    <xf numFmtId="164" fontId="17" fillId="10" borderId="10" xfId="0" applyFont="true" applyBorder="true" applyAlignment="true" applyProtection="false">
      <alignment horizontal="center" vertical="center" textRotation="0" wrapText="false" indent="0" shrinkToFit="false"/>
      <protection locked="true" hidden="false"/>
    </xf>
    <xf numFmtId="164" fontId="22" fillId="10" borderId="10" xfId="0" applyFont="true" applyBorder="true" applyAlignment="true" applyProtection="false">
      <alignment horizontal="center" vertical="center" textRotation="0" wrapText="false" indent="0" shrinkToFit="false"/>
      <protection locked="true" hidden="false"/>
    </xf>
    <xf numFmtId="164" fontId="16" fillId="11" borderId="10" xfId="0" applyFont="true" applyBorder="true" applyAlignment="true" applyProtection="false">
      <alignment horizontal="center" vertical="center" textRotation="0" wrapText="false" indent="0" shrinkToFit="false"/>
      <protection locked="true" hidden="false"/>
    </xf>
    <xf numFmtId="165" fontId="22" fillId="11" borderId="10" xfId="0" applyFont="true" applyBorder="true" applyAlignment="true" applyProtection="false">
      <alignment horizontal="center" vertical="center" textRotation="0" wrapText="false" indent="0" shrinkToFit="false"/>
      <protection locked="true" hidden="false"/>
    </xf>
    <xf numFmtId="165" fontId="22" fillId="4" borderId="11" xfId="0" applyFont="true" applyBorder="true" applyAlignment="true" applyProtection="false">
      <alignment horizontal="center" vertical="center" textRotation="0" wrapText="false" indent="0" shrinkToFit="false"/>
      <protection locked="true" hidden="false"/>
    </xf>
    <xf numFmtId="164" fontId="26" fillId="2" borderId="0" xfId="0" applyFont="true" applyBorder="true" applyAlignment="true" applyProtection="false">
      <alignment horizontal="general" vertical="center" textRotation="0" wrapText="false" indent="0" shrinkToFit="false"/>
      <protection locked="true" hidden="false"/>
    </xf>
    <xf numFmtId="164" fontId="13" fillId="2" borderId="29" xfId="0" applyFont="true" applyBorder="true" applyAlignment="true" applyProtection="false">
      <alignment horizontal="center" vertical="center" textRotation="0" wrapText="false" indent="0" shrinkToFit="false"/>
      <protection locked="true" hidden="false"/>
    </xf>
    <xf numFmtId="164" fontId="13" fillId="2" borderId="30"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center" vertical="center" textRotation="0" wrapText="false" indent="0" shrinkToFit="false"/>
      <protection locked="true" hidden="false"/>
    </xf>
    <xf numFmtId="164" fontId="13" fillId="2" borderId="4" xfId="0" applyFont="true" applyBorder="true" applyAlignment="true" applyProtection="false">
      <alignment horizontal="center" vertical="center" textRotation="0" wrapText="false" indent="0" shrinkToFit="false"/>
      <protection locked="true" hidden="false"/>
    </xf>
    <xf numFmtId="164" fontId="13" fillId="2" borderId="5" xfId="0" applyFont="true" applyBorder="true" applyAlignment="true" applyProtection="false">
      <alignment horizontal="center" vertical="center" textRotation="0" wrapText="false" indent="0" shrinkToFit="false"/>
      <protection locked="true" hidden="false"/>
    </xf>
    <xf numFmtId="164" fontId="14" fillId="2" borderId="8" xfId="0" applyFont="true" applyBorder="true" applyAlignment="true" applyProtection="false">
      <alignment horizontal="right" vertical="center" textRotation="0" wrapText="false" indent="0" shrinkToFit="false"/>
      <protection locked="true" hidden="false"/>
    </xf>
    <xf numFmtId="164" fontId="14" fillId="4" borderId="9" xfId="0" applyFont="true" applyBorder="true" applyAlignment="true" applyProtection="false">
      <alignment horizontal="center" vertical="center" textRotation="0" wrapText="false" indent="0" shrinkToFit="false"/>
      <protection locked="true" hidden="false"/>
    </xf>
    <xf numFmtId="164" fontId="13" fillId="4" borderId="11" xfId="0" applyFont="true" applyBorder="true" applyAlignment="true" applyProtection="false">
      <alignment horizontal="right" vertical="center" textRotation="0" wrapText="false" indent="0" shrinkToFit="false"/>
      <protection locked="true" hidden="false"/>
    </xf>
    <xf numFmtId="164" fontId="13" fillId="2" borderId="17" xfId="0" applyFont="true" applyBorder="true" applyAlignment="true" applyProtection="false">
      <alignment horizontal="right" vertical="center" textRotation="0" wrapText="false" indent="0" shrinkToFit="false"/>
      <protection locked="true" hidden="false"/>
    </xf>
    <xf numFmtId="164" fontId="13" fillId="2" borderId="3" xfId="0" applyFont="true" applyBorder="true" applyAlignment="true" applyProtection="false">
      <alignment horizontal="general" vertical="center"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13" fillId="2" borderId="4" xfId="0" applyFont="true" applyBorder="true" applyAlignment="true" applyProtection="false">
      <alignment horizontal="general" vertical="center" textRotation="0" wrapText="false" indent="0" shrinkToFit="false"/>
      <protection locked="true" hidden="false"/>
    </xf>
    <xf numFmtId="164" fontId="13" fillId="2" borderId="5" xfId="0" applyFont="true" applyBorder="true" applyAlignment="true" applyProtection="false">
      <alignment horizontal="right" vertical="center" textRotation="0" wrapText="false" indent="0" shrinkToFit="false"/>
      <protection locked="true" hidden="false"/>
    </xf>
    <xf numFmtId="164" fontId="17" fillId="2" borderId="8" xfId="0" applyFont="true" applyBorder="true" applyAlignment="true" applyProtection="false">
      <alignment horizontal="right" vertical="center" textRotation="0" wrapText="false" indent="0" shrinkToFit="false"/>
      <protection locked="true" hidden="false"/>
    </xf>
    <xf numFmtId="164" fontId="18" fillId="4" borderId="11" xfId="0" applyFont="true" applyBorder="true" applyAlignment="true" applyProtection="false">
      <alignment horizontal="right" vertical="center" textRotation="0" wrapText="false" indent="0" shrinkToFit="false"/>
      <protection locked="true" hidden="false"/>
    </xf>
    <xf numFmtId="165" fontId="14" fillId="2" borderId="8" xfId="0" applyFont="true" applyBorder="true" applyAlignment="true" applyProtection="false">
      <alignment horizontal="right" vertical="center" textRotation="0" wrapText="false" indent="0" shrinkToFit="false"/>
      <protection locked="true" hidden="false"/>
    </xf>
    <xf numFmtId="165" fontId="13" fillId="4" borderId="11" xfId="0" applyFont="true" applyBorder="true" applyAlignment="true" applyProtection="false">
      <alignment horizontal="right" vertical="center" textRotation="0" wrapText="false" indent="0" shrinkToFit="false"/>
      <protection locked="true" hidden="false"/>
    </xf>
    <xf numFmtId="164" fontId="13" fillId="2" borderId="8" xfId="0" applyFont="true" applyBorder="true" applyAlignment="true" applyProtection="false">
      <alignment horizontal="right"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false" indent="0" shrinkToFit="false"/>
      <protection locked="true" hidden="false"/>
    </xf>
    <xf numFmtId="164" fontId="0" fillId="0" borderId="5" xfId="0" applyFont="false" applyBorder="true" applyAlignment="true" applyProtection="false">
      <alignment horizontal="right" vertical="bottom" textRotation="0" wrapText="false" indent="0" shrinkToFit="false"/>
      <protection locked="true" hidden="false"/>
    </xf>
    <xf numFmtId="164" fontId="13" fillId="2" borderId="7" xfId="0" applyFont="true" applyBorder="true" applyAlignment="true" applyProtection="false">
      <alignment horizontal="general" vertical="center" textRotation="0" wrapText="true" indent="0" shrinkToFit="false"/>
      <protection locked="true" hidden="false"/>
    </xf>
    <xf numFmtId="164" fontId="13" fillId="2" borderId="7" xfId="0" applyFont="true" applyBorder="true" applyAlignment="true" applyProtection="false">
      <alignment horizontal="general" vertical="center"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14" fillId="2" borderId="7" xfId="0" applyFont="true" applyBorder="true" applyAlignment="true" applyProtection="false">
      <alignment horizontal="general" vertical="center" textRotation="0" wrapText="false" indent="0" shrinkToFit="false"/>
      <protection locked="true" hidden="false"/>
    </xf>
    <xf numFmtId="164" fontId="0" fillId="0" borderId="8" xfId="0" applyFont="false" applyBorder="true" applyAlignment="true" applyProtection="false">
      <alignment horizontal="right" vertical="bottom" textRotation="0" wrapText="false" indent="0" shrinkToFit="false"/>
      <protection locked="true" hidden="false"/>
    </xf>
    <xf numFmtId="164" fontId="13" fillId="2" borderId="31" xfId="0" applyFont="true" applyBorder="true" applyAlignment="true" applyProtection="false">
      <alignment horizontal="general" vertical="center" textRotation="0" wrapText="false" indent="0" shrinkToFit="false"/>
      <protection locked="true" hidden="false"/>
    </xf>
    <xf numFmtId="164" fontId="13" fillId="2" borderId="32" xfId="0" applyFont="true" applyBorder="true" applyAlignment="true" applyProtection="false">
      <alignment horizontal="general" vertical="center" textRotation="0" wrapText="false" indent="0" shrinkToFit="false"/>
      <protection locked="true" hidden="false"/>
    </xf>
    <xf numFmtId="164" fontId="13" fillId="2" borderId="33" xfId="0" applyFont="true" applyBorder="true" applyAlignment="true" applyProtection="false">
      <alignment horizontal="general" vertical="center" textRotation="0" wrapText="false" indent="0" shrinkToFit="false"/>
      <protection locked="true" hidden="false"/>
    </xf>
    <xf numFmtId="164" fontId="14" fillId="2" borderId="34" xfId="0" applyFont="true" applyBorder="true" applyAlignment="true" applyProtection="false">
      <alignment horizontal="center" vertical="center" textRotation="0" wrapText="false" indent="0" shrinkToFit="false"/>
      <protection locked="true" hidden="false"/>
    </xf>
    <xf numFmtId="164" fontId="14" fillId="2" borderId="34" xfId="0" applyFont="true" applyBorder="true" applyAlignment="true" applyProtection="false">
      <alignment horizontal="general" vertical="center" textRotation="0" wrapText="false" indent="0" shrinkToFit="false"/>
      <protection locked="true" hidden="false"/>
    </xf>
    <xf numFmtId="164" fontId="0" fillId="4" borderId="35" xfId="0" applyFont="fals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true" applyProtection="false">
      <alignment horizontal="right" vertical="center" textRotation="0" wrapText="false" indent="0" shrinkToFit="false"/>
      <protection locked="true" hidden="false"/>
    </xf>
    <xf numFmtId="167" fontId="13" fillId="4" borderId="11" xfId="17" applyFont="true" applyBorder="true" applyAlignment="true" applyProtection="true">
      <alignment horizontal="right" vertical="center" textRotation="0" wrapText="false" indent="0" shrinkToFit="false"/>
      <protection locked="true" hidden="false"/>
    </xf>
    <xf numFmtId="164" fontId="13" fillId="3" borderId="36" xfId="0" applyFont="true" applyBorder="true" applyAlignment="true" applyProtection="false">
      <alignment horizontal="center" vertical="center" textRotation="0" wrapText="false" indent="0" shrinkToFit="false"/>
      <protection locked="true" hidden="false"/>
    </xf>
    <xf numFmtId="165" fontId="14" fillId="2" borderId="7" xfId="0" applyFont="true" applyBorder="true" applyAlignment="true" applyProtection="false">
      <alignment horizontal="right" vertical="center" textRotation="0" wrapText="false" indent="0" shrinkToFit="false"/>
      <protection locked="true" hidden="false"/>
    </xf>
    <xf numFmtId="172" fontId="14" fillId="2" borderId="8" xfId="0" applyFont="true" applyBorder="true" applyAlignment="true" applyProtection="false">
      <alignment horizontal="right" vertical="center" textRotation="0" wrapText="false" indent="0" shrinkToFit="false"/>
      <protection locked="true" hidden="false"/>
    </xf>
    <xf numFmtId="165" fontId="13" fillId="2" borderId="7" xfId="0" applyFont="true" applyBorder="true" applyAlignment="true" applyProtection="false">
      <alignment horizontal="center" vertical="center" textRotation="0" wrapText="false" indent="0" shrinkToFit="false"/>
      <protection locked="true" hidden="false"/>
    </xf>
    <xf numFmtId="165" fontId="13" fillId="2" borderId="8" xfId="0" applyFont="true" applyBorder="true" applyAlignment="true" applyProtection="false">
      <alignment horizontal="center" vertical="center" textRotation="0" wrapText="false" indent="0" shrinkToFit="false"/>
      <protection locked="true" hidden="false"/>
    </xf>
    <xf numFmtId="165" fontId="13" fillId="4" borderId="10" xfId="0" applyFont="true" applyBorder="true" applyAlignment="true" applyProtection="false">
      <alignment horizontal="center" vertical="center" textRotation="0" wrapText="false" indent="0" shrinkToFit="false"/>
      <protection locked="true" hidden="false"/>
    </xf>
    <xf numFmtId="165" fontId="14" fillId="4" borderId="10" xfId="0" applyFont="true" applyBorder="true" applyAlignment="true" applyProtection="false">
      <alignment horizontal="center" vertical="center" textRotation="0" wrapText="false" indent="0" shrinkToFit="false"/>
      <protection locked="true" hidden="false"/>
    </xf>
    <xf numFmtId="165" fontId="13" fillId="4" borderId="11" xfId="0" applyFont="true" applyBorder="true" applyAlignment="true" applyProtection="false">
      <alignment horizontal="center" vertical="center" textRotation="0" wrapText="false" indent="0" shrinkToFit="false"/>
      <protection locked="true" hidden="false"/>
    </xf>
    <xf numFmtId="172" fontId="14" fillId="2" borderId="7" xfId="0" applyFont="true" applyBorder="true" applyAlignment="true" applyProtection="false">
      <alignment horizontal="center" vertical="center" textRotation="0" wrapText="false" indent="0" shrinkToFit="false"/>
      <protection locked="true" hidden="false"/>
    </xf>
    <xf numFmtId="165" fontId="13" fillId="2" borderId="8" xfId="0" applyFont="true" applyBorder="true" applyAlignment="true" applyProtection="false">
      <alignment horizontal="right" vertical="center" textRotation="0" wrapText="false" indent="0" shrinkToFit="false"/>
      <protection locked="true" hidden="false"/>
    </xf>
    <xf numFmtId="165" fontId="13" fillId="2" borderId="7" xfId="0" applyFont="true" applyBorder="true" applyAlignment="true" applyProtection="false">
      <alignment horizontal="right" vertical="center" textRotation="0" wrapText="false" indent="0" shrinkToFit="false"/>
      <protection locked="true" hidden="false"/>
    </xf>
    <xf numFmtId="164" fontId="13" fillId="12" borderId="6" xfId="0" applyFont="true" applyBorder="true" applyAlignment="true" applyProtection="false">
      <alignment horizontal="center" vertical="center" textRotation="0" wrapText="false" indent="0" shrinkToFit="false"/>
      <protection locked="true" hidden="false"/>
    </xf>
    <xf numFmtId="165" fontId="13" fillId="12" borderId="7" xfId="0" applyFont="true" applyBorder="true" applyAlignment="true" applyProtection="false">
      <alignment horizontal="right" vertical="center" textRotation="0" wrapText="false" indent="0" shrinkToFit="false"/>
      <protection locked="true" hidden="false"/>
    </xf>
    <xf numFmtId="165" fontId="14" fillId="12" borderId="7" xfId="0" applyFont="true" applyBorder="true" applyAlignment="true" applyProtection="false">
      <alignment horizontal="right" vertical="center" textRotation="0" wrapText="false" indent="0" shrinkToFit="false"/>
      <protection locked="true" hidden="false"/>
    </xf>
    <xf numFmtId="165" fontId="13" fillId="12" borderId="8" xfId="0" applyFont="true" applyBorder="true" applyAlignment="true" applyProtection="false">
      <alignment horizontal="right" vertical="center" textRotation="0" wrapText="false" indent="0" shrinkToFit="false"/>
      <protection locked="true" hidden="false"/>
    </xf>
    <xf numFmtId="164" fontId="13" fillId="12" borderId="9" xfId="0" applyFont="true" applyBorder="true" applyAlignment="true" applyProtection="false">
      <alignment horizontal="center" vertical="center" textRotation="0" wrapText="false" indent="0" shrinkToFit="false"/>
      <protection locked="true" hidden="false"/>
    </xf>
    <xf numFmtId="165" fontId="13" fillId="12" borderId="10" xfId="0" applyFont="true" applyBorder="true" applyAlignment="true" applyProtection="false">
      <alignment horizontal="right" vertical="center" textRotation="0" wrapText="false" indent="0" shrinkToFit="false"/>
      <protection locked="true" hidden="false"/>
    </xf>
    <xf numFmtId="165" fontId="14" fillId="12" borderId="10" xfId="0" applyFont="true" applyBorder="true" applyAlignment="true" applyProtection="false">
      <alignment horizontal="right" vertical="center" textRotation="0" wrapText="false" indent="0" shrinkToFit="false"/>
      <protection locked="true" hidden="false"/>
    </xf>
    <xf numFmtId="165" fontId="13" fillId="12" borderId="11" xfId="0" applyFont="true" applyBorder="true" applyAlignment="true" applyProtection="false">
      <alignment horizontal="right" vertical="center" textRotation="0" wrapText="false" indent="0" shrinkToFit="false"/>
      <protection locked="true" hidden="false"/>
    </xf>
    <xf numFmtId="164" fontId="11" fillId="2" borderId="0" xfId="0" applyFont="true" applyBorder="true" applyAlignment="true" applyProtection="false">
      <alignment horizontal="center" vertical="bottom" textRotation="0" wrapText="false" indent="0" shrinkToFit="false"/>
      <protection locked="true" hidden="false"/>
    </xf>
    <xf numFmtId="164" fontId="11" fillId="2" borderId="1" xfId="0" applyFont="true" applyBorder="true" applyAlignment="true" applyProtection="false">
      <alignment horizontal="center" vertical="bottom" textRotation="0" wrapText="false" indent="0" shrinkToFit="false"/>
      <protection locked="true" hidden="false"/>
    </xf>
    <xf numFmtId="164" fontId="0" fillId="2" borderId="14" xfId="0" applyFont="false" applyBorder="true" applyAlignment="false" applyProtection="false">
      <alignment horizontal="general" vertical="bottom" textRotation="0" wrapText="false" indent="0" shrinkToFit="false"/>
      <protection locked="true" hidden="false"/>
    </xf>
    <xf numFmtId="164" fontId="0" fillId="2" borderId="17" xfId="0" applyFont="false" applyBorder="true" applyAlignment="false" applyProtection="false">
      <alignment horizontal="general" vertical="bottom" textRotation="0" wrapText="false" indent="0" shrinkToFit="false"/>
      <protection locked="true" hidden="false"/>
    </xf>
    <xf numFmtId="164" fontId="9" fillId="4" borderId="3" xfId="0" applyFont="true" applyBorder="true" applyAlignment="true" applyProtection="false">
      <alignment horizontal="center" vertical="bottom" textRotation="0" wrapText="false" indent="0" shrinkToFit="false"/>
      <protection locked="true" hidden="false"/>
    </xf>
    <xf numFmtId="164" fontId="9" fillId="4" borderId="4" xfId="0" applyFont="true" applyBorder="true" applyAlignment="true" applyProtection="false">
      <alignment horizontal="center" vertical="center" textRotation="0" wrapText="false" indent="0" shrinkToFit="false"/>
      <protection locked="true" hidden="false"/>
    </xf>
    <xf numFmtId="164" fontId="9" fillId="4" borderId="5" xfId="0" applyFont="true" applyBorder="true" applyAlignment="true" applyProtection="false">
      <alignment horizontal="center"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5" fontId="0" fillId="2" borderId="7" xfId="0" applyFont="false" applyBorder="true" applyAlignment="true" applyProtection="false">
      <alignment horizontal="center" vertical="center" textRotation="0" wrapText="false" indent="0" shrinkToFit="false"/>
      <protection locked="true" hidden="false"/>
    </xf>
    <xf numFmtId="172" fontId="0" fillId="2" borderId="8" xfId="0" applyFont="false" applyBorder="true" applyAlignment="true" applyProtection="false">
      <alignment horizontal="center" vertical="center" textRotation="0" wrapText="false" indent="0" shrinkToFit="false"/>
      <protection locked="true" hidden="false"/>
    </xf>
    <xf numFmtId="164" fontId="9" fillId="4" borderId="9" xfId="0" applyFont="true" applyBorder="true" applyAlignment="true" applyProtection="false">
      <alignment horizontal="left" vertical="center" textRotation="0" wrapText="false" indent="0" shrinkToFit="false"/>
      <protection locked="true" hidden="false"/>
    </xf>
    <xf numFmtId="165" fontId="0" fillId="2" borderId="10" xfId="0" applyFont="false" applyBorder="true" applyAlignment="true" applyProtection="false">
      <alignment horizontal="center" vertical="center" textRotation="0" wrapText="false" indent="0" shrinkToFit="false"/>
      <protection locked="true" hidden="false"/>
    </xf>
    <xf numFmtId="172" fontId="0" fillId="2" borderId="11" xfId="0" applyFont="false" applyBorder="true" applyAlignment="true" applyProtection="false">
      <alignment horizontal="center" vertical="center" textRotation="0" wrapText="false" indent="0" shrinkToFit="false"/>
      <protection locked="true" hidden="false"/>
    </xf>
    <xf numFmtId="165" fontId="0" fillId="2" borderId="0" xfId="0" applyFont="false" applyBorder="true" applyAlignment="true" applyProtection="false">
      <alignment horizontal="center" vertical="center" textRotation="0" wrapText="false" indent="0" shrinkToFit="false"/>
      <protection locked="true" hidden="false"/>
    </xf>
    <xf numFmtId="164" fontId="0" fillId="2" borderId="3" xfId="0" applyFont="true" applyBorder="true" applyAlignment="true" applyProtection="false">
      <alignment horizontal="left" vertical="center" textRotation="0" wrapText="false" indent="0" shrinkToFit="false"/>
      <protection locked="true" hidden="false"/>
    </xf>
    <xf numFmtId="165" fontId="0" fillId="2" borderId="4" xfId="0" applyFont="false" applyBorder="true" applyAlignment="true" applyProtection="false">
      <alignment horizontal="center" vertical="center" textRotation="0" wrapText="false" indent="0" shrinkToFit="false"/>
      <protection locked="true" hidden="false"/>
    </xf>
    <xf numFmtId="172" fontId="0" fillId="2" borderId="5" xfId="0" applyFont="false" applyBorder="true" applyAlignment="true" applyProtection="false">
      <alignment horizontal="center" vertical="center" textRotation="0" wrapText="false" indent="0" shrinkToFit="false"/>
      <protection locked="true" hidden="false"/>
    </xf>
    <xf numFmtId="164" fontId="9" fillId="4" borderId="6" xfId="0" applyFont="true" applyBorder="true" applyAlignment="true" applyProtection="false">
      <alignment horizontal="left" vertical="center" textRotation="0" wrapText="false" indent="0" shrinkToFit="false"/>
      <protection locked="true" hidden="false"/>
    </xf>
    <xf numFmtId="164" fontId="9" fillId="4" borderId="3" xfId="0" applyFont="true" applyBorder="true" applyAlignment="false" applyProtection="false">
      <alignment horizontal="general" vertical="bottom" textRotation="0" wrapText="false" indent="0" shrinkToFit="false"/>
      <protection locked="true" hidden="false"/>
    </xf>
    <xf numFmtId="164" fontId="9" fillId="4" borderId="4" xfId="0" applyFont="true" applyBorder="true" applyAlignment="false" applyProtection="false">
      <alignment horizontal="general" vertical="bottom" textRotation="0" wrapText="false" indent="0" shrinkToFit="false"/>
      <protection locked="true" hidden="false"/>
    </xf>
    <xf numFmtId="164" fontId="9" fillId="4" borderId="9" xfId="0" applyFont="true" applyBorder="true" applyAlignment="false" applyProtection="false">
      <alignment horizontal="general" vertical="bottom" textRotation="0" wrapText="false" indent="0" shrinkToFit="false"/>
      <protection locked="true" hidden="false"/>
    </xf>
    <xf numFmtId="164" fontId="9" fillId="4" borderId="10" xfId="0" applyFont="true" applyBorder="true" applyAlignment="false" applyProtection="false">
      <alignment horizontal="general" vertical="bottom" textRotation="0" wrapText="false" indent="0" shrinkToFit="false"/>
      <protection locked="true" hidden="false"/>
    </xf>
    <xf numFmtId="164" fontId="0" fillId="2" borderId="18" xfId="0" applyFont="false" applyBorder="true" applyAlignment="false" applyProtection="false">
      <alignment horizontal="general" vertical="bottom" textRotation="0" wrapText="false" indent="0" shrinkToFit="false"/>
      <protection locked="true" hidden="false"/>
    </xf>
    <xf numFmtId="164" fontId="11" fillId="4" borderId="37" xfId="0" applyFont="true" applyBorder="true" applyAlignment="true" applyProtection="false">
      <alignment horizontal="center" vertical="bottom" textRotation="0" wrapText="false" indent="0" shrinkToFit="false"/>
      <protection locked="true" hidden="false"/>
    </xf>
    <xf numFmtId="164" fontId="9" fillId="4" borderId="3" xfId="0" applyFont="true" applyBorder="true" applyAlignment="true" applyProtection="false">
      <alignment horizontal="center" vertical="center" textRotation="0" wrapText="false" indent="0" shrinkToFit="false"/>
      <protection locked="true" hidden="false"/>
    </xf>
    <xf numFmtId="164" fontId="9" fillId="4" borderId="4" xfId="0" applyFont="true" applyBorder="true" applyAlignment="true" applyProtection="false">
      <alignment horizontal="center" vertical="center" textRotation="0" wrapText="true" indent="0" shrinkToFit="false"/>
      <protection locked="true" hidden="false"/>
    </xf>
    <xf numFmtId="164" fontId="9" fillId="4" borderId="4" xfId="0" applyFont="true" applyBorder="true" applyAlignment="true" applyProtection="false">
      <alignment horizontal="center" vertical="bottom" textRotation="0" wrapText="true" indent="0" shrinkToFit="false"/>
      <protection locked="true" hidden="false"/>
    </xf>
    <xf numFmtId="164" fontId="9" fillId="4" borderId="5" xfId="0" applyFont="true" applyBorder="true" applyAlignment="true" applyProtection="false">
      <alignment horizontal="center" vertical="center" textRotation="0" wrapText="true" indent="0" shrinkToFit="false"/>
      <protection locked="true" hidden="false"/>
    </xf>
    <xf numFmtId="164" fontId="9" fillId="4" borderId="7" xfId="0" applyFont="true" applyBorder="true" applyAlignment="true" applyProtection="false">
      <alignment horizontal="center" vertical="center" textRotation="0" wrapText="false" indent="0" shrinkToFit="false"/>
      <protection locked="true" hidden="false"/>
    </xf>
    <xf numFmtId="164" fontId="9" fillId="4" borderId="8"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9" fillId="2" borderId="6" xfId="0" applyFont="true" applyBorder="true" applyAlignment="true" applyProtection="false">
      <alignment horizontal="center" vertical="bottom" textRotation="0" wrapText="false" indent="0" shrinkToFit="false"/>
      <protection locked="true" hidden="false"/>
    </xf>
    <xf numFmtId="164" fontId="0" fillId="2" borderId="7" xfId="0" applyFont="true" applyBorder="true" applyAlignment="true" applyProtection="false">
      <alignment horizontal="center" vertical="bottom" textRotation="0" wrapText="false" indent="0" shrinkToFit="false"/>
      <protection locked="true" hidden="false"/>
    </xf>
    <xf numFmtId="164" fontId="0" fillId="2" borderId="7" xfId="0" applyFont="true" applyBorder="true" applyAlignment="true" applyProtection="false">
      <alignment horizontal="center" vertical="center" textRotation="0" wrapText="false" indent="0" shrinkToFit="false"/>
      <protection locked="true" hidden="false"/>
    </xf>
    <xf numFmtId="164" fontId="0" fillId="2" borderId="8" xfId="0" applyFont="true" applyBorder="true" applyAlignment="true" applyProtection="false">
      <alignment horizontal="center" vertical="center" textRotation="0" wrapText="false" indent="0" shrinkToFit="false"/>
      <protection locked="true" hidden="false"/>
    </xf>
    <xf numFmtId="168" fontId="0" fillId="2" borderId="0" xfId="0" applyFont="false" applyBorder="true" applyAlignment="true" applyProtection="false">
      <alignment horizontal="center" vertical="bottom" textRotation="0" wrapText="false" indent="0" shrinkToFit="false"/>
      <protection locked="true" hidden="false"/>
    </xf>
    <xf numFmtId="165" fontId="0" fillId="2" borderId="7" xfId="0" applyFont="true" applyBorder="true" applyAlignment="true" applyProtection="false">
      <alignment horizontal="center" vertical="bottom" textRotation="0" wrapText="false" indent="0" shrinkToFit="false"/>
      <protection locked="true" hidden="false"/>
    </xf>
    <xf numFmtId="164" fontId="9" fillId="2" borderId="9" xfId="0" applyFont="true" applyBorder="true" applyAlignment="true" applyProtection="false">
      <alignment horizontal="center"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5" fontId="0" fillId="2" borderId="10" xfId="0" applyFont="true" applyBorder="true" applyAlignment="true" applyProtection="false">
      <alignment horizontal="center" vertical="center" textRotation="0" wrapText="false" indent="0" shrinkToFit="false"/>
      <protection locked="true" hidden="false"/>
    </xf>
    <xf numFmtId="164" fontId="0" fillId="2" borderId="10" xfId="0" applyFont="true" applyBorder="true" applyAlignment="true" applyProtection="false">
      <alignment horizontal="center"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9" fillId="2" borderId="6" xfId="0" applyFont="true" applyBorder="true" applyAlignment="true" applyProtection="false">
      <alignment horizontal="left" vertical="center" textRotation="0" wrapText="false" indent="0" shrinkToFit="false"/>
      <protection locked="true" hidden="false"/>
    </xf>
    <xf numFmtId="165" fontId="0" fillId="2" borderId="8" xfId="0" applyFont="false" applyBorder="true" applyAlignment="false" applyProtection="false">
      <alignment horizontal="general" vertical="bottom" textRotation="0" wrapText="false" indent="0" shrinkToFit="false"/>
      <protection locked="true" hidden="false"/>
    </xf>
    <xf numFmtId="164" fontId="27" fillId="2" borderId="0" xfId="0" applyFont="true" applyBorder="false" applyAlignment="false" applyProtection="false">
      <alignment horizontal="general" vertical="bottom" textRotation="0" wrapText="false" indent="0" shrinkToFit="false"/>
      <protection locked="true" hidden="false"/>
    </xf>
    <xf numFmtId="164" fontId="9" fillId="2" borderId="9" xfId="0" applyFont="true" applyBorder="true" applyAlignment="true" applyProtection="false">
      <alignment horizontal="left" vertical="center" textRotation="0" wrapText="false" indent="0" shrinkToFit="false"/>
      <protection locked="true" hidden="false"/>
    </xf>
    <xf numFmtId="165" fontId="0" fillId="2" borderId="11" xfId="0" applyFont="false" applyBorder="true" applyAlignment="false" applyProtection="false">
      <alignment horizontal="general" vertical="bottom" textRotation="0" wrapText="false" indent="0" shrinkToFit="false"/>
      <protection locked="true" hidden="false"/>
    </xf>
    <xf numFmtId="164" fontId="11" fillId="2" borderId="1" xfId="0" applyFont="true" applyBorder="true" applyAlignment="true" applyProtection="false">
      <alignment horizontal="center" vertical="center" textRotation="0" wrapText="false" indent="0" shrinkToFit="false"/>
      <protection locked="true" hidden="false"/>
    </xf>
    <xf numFmtId="164" fontId="0" fillId="2" borderId="12" xfId="0" applyFont="false" applyBorder="true" applyAlignment="false" applyProtection="false">
      <alignment horizontal="general" vertical="bottom" textRotation="0" wrapText="false" indent="0" shrinkToFit="false"/>
      <protection locked="true" hidden="false"/>
    </xf>
    <xf numFmtId="164" fontId="9" fillId="2" borderId="34" xfId="0" applyFont="true" applyBorder="true" applyAlignment="true" applyProtection="false">
      <alignment horizontal="general" vertical="center" textRotation="0" wrapText="false" indent="0" shrinkToFit="false"/>
      <protection locked="true" hidden="false"/>
    </xf>
    <xf numFmtId="168" fontId="0" fillId="2" borderId="8" xfId="0" applyFont="false" applyBorder="true" applyAlignment="true" applyProtection="false">
      <alignment horizontal="center" vertical="center" textRotation="0" wrapText="false" indent="0" shrinkToFit="false"/>
      <protection locked="true" hidden="false"/>
    </xf>
    <xf numFmtId="164" fontId="9" fillId="2" borderId="6"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9" fillId="2" borderId="9" xfId="0" applyFont="true" applyBorder="true" applyAlignment="true" applyProtection="false">
      <alignment horizontal="general" vertical="center" textRotation="0" wrapText="false" indent="0" shrinkToFit="false"/>
      <protection locked="true" hidden="false"/>
    </xf>
    <xf numFmtId="164" fontId="0" fillId="2" borderId="14" xfId="0" applyFont="false" applyBorder="true" applyAlignment="true" applyProtection="false">
      <alignment horizontal="general" vertical="center" textRotation="0" wrapText="false" indent="0" shrinkToFit="false"/>
      <protection locked="true" hidden="false"/>
    </xf>
    <xf numFmtId="164" fontId="0" fillId="2" borderId="12" xfId="0" applyFont="false" applyBorder="true" applyAlignment="true" applyProtection="false">
      <alignment horizontal="left" vertical="center" textRotation="0" wrapText="false" indent="0" shrinkToFit="false"/>
      <protection locked="true" hidden="false"/>
    </xf>
    <xf numFmtId="164" fontId="0" fillId="2" borderId="13" xfId="0" applyFont="false" applyBorder="true" applyAlignment="true" applyProtection="false">
      <alignment horizontal="left" vertical="center" textRotation="0" wrapText="false" indent="0" shrinkToFit="false"/>
      <protection locked="true" hidden="false"/>
    </xf>
    <xf numFmtId="164" fontId="0" fillId="2" borderId="8" xfId="0" applyFont="false" applyBorder="true" applyAlignment="true" applyProtection="false">
      <alignment horizontal="center" vertical="center" textRotation="0" wrapText="false" indent="0" shrinkToFit="false"/>
      <protection locked="true" hidden="false"/>
    </xf>
    <xf numFmtId="164" fontId="27" fillId="2" borderId="0" xfId="0" applyFont="true" applyBorder="true" applyAlignment="false" applyProtection="false">
      <alignment horizontal="general" vertical="bottom" textRotation="0" wrapText="false" indent="0" shrinkToFit="false"/>
      <protection locked="true" hidden="false"/>
    </xf>
    <xf numFmtId="168" fontId="0" fillId="2" borderId="11" xfId="0" applyFont="false" applyBorder="true" applyAlignment="true" applyProtection="false">
      <alignment horizontal="center" vertical="center" textRotation="0" wrapText="false" indent="0" shrinkToFit="false"/>
      <protection locked="true" hidden="false"/>
    </xf>
    <xf numFmtId="164" fontId="0" fillId="2" borderId="16" xfId="0" applyFont="true" applyBorder="true" applyAlignment="true" applyProtection="false">
      <alignment horizontal="center" vertical="bottom" textRotation="0" wrapText="false" indent="0" shrinkToFit="false"/>
      <protection locked="true" hidden="false"/>
    </xf>
    <xf numFmtId="164" fontId="9" fillId="4" borderId="0" xfId="0" applyFont="true" applyBorder="true" applyAlignment="true" applyProtection="false">
      <alignment horizontal="center" vertical="center" textRotation="0" wrapText="false" indent="0" shrinkToFit="false"/>
      <protection locked="true" hidden="false"/>
    </xf>
    <xf numFmtId="164" fontId="9" fillId="2" borderId="36" xfId="0" applyFont="true" applyBorder="true" applyAlignment="true" applyProtection="false">
      <alignment horizontal="center" vertical="center" textRotation="0" wrapText="false" indent="0" shrinkToFit="false"/>
      <protection locked="true" hidden="false"/>
    </xf>
    <xf numFmtId="164" fontId="9" fillId="4" borderId="6" xfId="0" applyFont="true" applyBorder="true" applyAlignment="true" applyProtection="false">
      <alignment horizontal="center" vertical="center" textRotation="0" wrapText="false" indent="0" shrinkToFit="false"/>
      <protection locked="true" hidden="false"/>
    </xf>
    <xf numFmtId="164" fontId="0" fillId="2" borderId="8" xfId="0" applyFont="false" applyBorder="true" applyAlignment="true" applyProtection="false">
      <alignment horizontal="left" vertical="center" textRotation="0" wrapText="false" indent="0" shrinkToFit="false"/>
      <protection locked="true" hidden="false"/>
    </xf>
    <xf numFmtId="164" fontId="0" fillId="2" borderId="9" xfId="0" applyFont="true" applyBorder="true" applyAlignment="true" applyProtection="false">
      <alignment horizontal="left" vertical="center" textRotation="0" wrapText="false" indent="0" shrinkToFit="false"/>
      <protection locked="true" hidden="false"/>
    </xf>
    <xf numFmtId="164" fontId="0" fillId="2" borderId="7" xfId="0" applyFont="false" applyBorder="true" applyAlignment="true" applyProtection="false">
      <alignment horizontal="center"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false" indent="0" shrinkToFit="false"/>
      <protection locked="true" hidden="false"/>
    </xf>
    <xf numFmtId="164" fontId="9" fillId="2" borderId="7" xfId="0" applyFont="true" applyBorder="true" applyAlignment="true" applyProtection="false">
      <alignment horizontal="center" vertical="center" textRotation="0" wrapText="false" indent="0" shrinkToFit="false"/>
      <protection locked="true" hidden="false"/>
    </xf>
    <xf numFmtId="168" fontId="0" fillId="2" borderId="7" xfId="0" applyFont="false" applyBorder="true" applyAlignment="true" applyProtection="false">
      <alignment horizontal="center" vertical="center" textRotation="0" wrapText="false" indent="0" shrinkToFit="false"/>
      <protection locked="true" hidden="false"/>
    </xf>
    <xf numFmtId="164" fontId="9" fillId="4" borderId="1" xfId="0" applyFont="true" applyBorder="true" applyAlignment="true" applyProtection="false">
      <alignment horizontal="center" vertical="bottom" textRotation="0" wrapText="false" indent="0" shrinkToFit="false"/>
      <protection locked="true" hidden="false"/>
    </xf>
    <xf numFmtId="164" fontId="0" fillId="2" borderId="6" xfId="0" applyFont="true" applyBorder="true" applyAlignment="true" applyProtection="false">
      <alignment horizontal="left" vertical="bottom" textRotation="0" wrapText="false" indent="0" shrinkToFit="false"/>
      <protection locked="true" hidden="false"/>
    </xf>
    <xf numFmtId="174" fontId="0" fillId="2" borderId="8" xfId="17" applyFont="true" applyBorder="true" applyAlignment="true" applyProtection="true">
      <alignment horizontal="left" vertical="bottom" textRotation="0" wrapText="false" indent="0" shrinkToFit="false"/>
      <protection locked="true" hidden="false"/>
    </xf>
    <xf numFmtId="164" fontId="9" fillId="4" borderId="6" xfId="0" applyFont="true" applyBorder="true" applyAlignment="true" applyProtection="false">
      <alignment horizontal="left" vertical="bottom" textRotation="0" wrapText="false" indent="0" shrinkToFit="false"/>
      <protection locked="true" hidden="false"/>
    </xf>
    <xf numFmtId="174" fontId="0" fillId="0" borderId="8" xfId="17" applyFont="true" applyBorder="true" applyAlignment="true" applyProtection="true">
      <alignment horizontal="left" vertical="bottom" textRotation="0" wrapText="false" indent="0" shrinkToFit="false"/>
      <protection locked="true" hidden="false"/>
    </xf>
    <xf numFmtId="164" fontId="9" fillId="4" borderId="9" xfId="0" applyFont="true" applyBorder="true" applyAlignment="true" applyProtection="false">
      <alignment horizontal="left" vertical="bottom" textRotation="0" wrapText="false" indent="0" shrinkToFit="false"/>
      <protection locked="true" hidden="false"/>
    </xf>
    <xf numFmtId="174" fontId="0" fillId="2" borderId="11" xfId="17" applyFont="true" applyBorder="true" applyAlignment="true" applyProtection="true">
      <alignment horizontal="left" vertical="bottom" textRotation="0" wrapText="false" indent="0" shrinkToFit="false"/>
      <protection locked="true" hidden="false"/>
    </xf>
    <xf numFmtId="164" fontId="9" fillId="2" borderId="8" xfId="0" applyFont="true" applyBorder="true" applyAlignment="true" applyProtection="false">
      <alignment horizontal="center" vertical="bottom" textRotation="0" wrapText="false" indent="0" shrinkToFit="false"/>
      <protection locked="true" hidden="false"/>
    </xf>
    <xf numFmtId="165" fontId="0" fillId="0" borderId="8" xfId="0" applyFont="false" applyBorder="true" applyAlignment="true" applyProtection="false">
      <alignment horizontal="center" vertical="center" textRotation="0" wrapText="false" indent="0" shrinkToFit="false"/>
      <protection locked="true" hidden="false"/>
    </xf>
    <xf numFmtId="165" fontId="0" fillId="2" borderId="8" xfId="0" applyFont="false" applyBorder="true" applyAlignment="true" applyProtection="false">
      <alignment horizontal="center" vertical="center" textRotation="0" wrapText="false" indent="0" shrinkToFit="false"/>
      <protection locked="true" hidden="false"/>
    </xf>
    <xf numFmtId="164" fontId="0" fillId="2" borderId="10" xfId="0" applyFont="false" applyBorder="true" applyAlignment="true" applyProtection="false">
      <alignment horizontal="left" vertical="center" textRotation="0" wrapText="false" indent="0" shrinkToFit="false"/>
      <protection locked="true" hidden="false"/>
    </xf>
    <xf numFmtId="164" fontId="9" fillId="2" borderId="7" xfId="0" applyFont="true" applyBorder="true" applyAlignment="true" applyProtection="false">
      <alignment horizontal="center" vertical="bottom" textRotation="0" wrapText="false" indent="0" shrinkToFit="false"/>
      <protection locked="true" hidden="false"/>
    </xf>
    <xf numFmtId="172" fontId="0" fillId="2" borderId="7" xfId="0" applyFont="false" applyBorder="true" applyAlignment="false" applyProtection="false">
      <alignment horizontal="general" vertical="bottom" textRotation="0" wrapText="false" indent="0" shrinkToFit="false"/>
      <protection locked="true" hidden="false"/>
    </xf>
    <xf numFmtId="174" fontId="0" fillId="2" borderId="7" xfId="17" applyFont="true" applyBorder="true" applyAlignment="true" applyProtection="true">
      <alignment horizontal="center" vertical="center" textRotation="0" wrapText="false" indent="0" shrinkToFit="false"/>
      <protection locked="true" hidden="false"/>
    </xf>
    <xf numFmtId="164" fontId="0" fillId="2" borderId="38" xfId="0" applyFont="true" applyBorder="true" applyAlignment="true" applyProtection="false">
      <alignment horizontal="center" vertical="center" textRotation="0" wrapText="true" indent="0" shrinkToFit="false"/>
      <protection locked="true" hidden="false"/>
    </xf>
    <xf numFmtId="164" fontId="0" fillId="2" borderId="38" xfId="0" applyFont="true" applyBorder="true" applyAlignment="true" applyProtection="false">
      <alignment horizontal="center" vertical="bottom" textRotation="0" wrapText="false" indent="0" shrinkToFit="false"/>
      <protection locked="true" hidden="false"/>
    </xf>
    <xf numFmtId="164" fontId="9" fillId="2" borderId="2" xfId="0" applyFont="tru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DDDDDD"/>
      <rgbColor rgb="FF808080"/>
      <rgbColor rgb="FF9999FF"/>
      <rgbColor rgb="FF993366"/>
      <rgbColor rgb="FFFFFBCC"/>
      <rgbColor rgb="FFF2F2F2"/>
      <rgbColor rgb="FF660066"/>
      <rgbColor rgb="FFF9A870"/>
      <rgbColor rgb="FF0066CC"/>
      <rgbColor rgb="FFD9D9D9"/>
      <rgbColor rgb="FF000080"/>
      <rgbColor rgb="FFFF00FF"/>
      <rgbColor rgb="FFFFF685"/>
      <rgbColor rgb="FF00FFFF"/>
      <rgbColor rgb="FF800080"/>
      <rgbColor rgb="FF800000"/>
      <rgbColor rgb="FF008080"/>
      <rgbColor rgb="FF0000FF"/>
      <rgbColor rgb="FF00CCFF"/>
      <rgbColor rgb="FFCCFFFF"/>
      <rgbColor rgb="FFBEE3D3"/>
      <rgbColor rgb="FFFFF9AE"/>
      <rgbColor rgb="FF99CCFF"/>
      <rgbColor rgb="FFFF99CC"/>
      <rgbColor rgb="FFCC99FF"/>
      <rgbColor rgb="FFFCD4D1"/>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86400</xdr:colOff>
      <xdr:row>6</xdr:row>
      <xdr:rowOff>10080</xdr:rowOff>
    </xdr:from>
    <xdr:to>
      <xdr:col>7</xdr:col>
      <xdr:colOff>464760</xdr:colOff>
      <xdr:row>12</xdr:row>
      <xdr:rowOff>84600</xdr:rowOff>
    </xdr:to>
    <xdr:sp>
      <xdr:nvSpPr>
        <xdr:cNvPr id="0" name="CustomShape 1"/>
        <xdr:cNvSpPr/>
      </xdr:nvSpPr>
      <xdr:spPr>
        <a:xfrm>
          <a:off x="549720" y="1248120"/>
          <a:ext cx="5669280" cy="2436840"/>
        </a:xfrm>
        <a:prstGeom prst="rect">
          <a:avLst/>
        </a:prstGeom>
        <a:solidFill>
          <a:srgbClr val="ffffff"/>
        </a:solidFill>
        <a:ln w="9360">
          <a:solidFill>
            <a:srgbClr val="ffffff"/>
          </a:solidFill>
          <a:round/>
        </a:ln>
      </xdr:spPr>
      <xdr:style>
        <a:lnRef idx="0"/>
        <a:fillRef idx="0"/>
        <a:effectRef idx="0"/>
        <a:fontRef idx="minor"/>
      </xdr:style>
      <xdr:txBody>
        <a:bodyPr lIns="90000" rIns="90000" tIns="45000" bIns="45000"/>
        <a:p>
          <a:pPr>
            <a:lnSpc>
              <a:spcPct val="100000"/>
            </a:lnSpc>
          </a:pPr>
          <a:r>
            <a:rPr b="0" lang="es-AR" sz="1100" spc="-1" strike="noStrike">
              <a:solidFill>
                <a:srgbClr val="000000"/>
              </a:solidFill>
              <a:latin typeface="Arial"/>
            </a:rPr>
            <a:t>El modelo de empresa que vamos a analizar en el presente trabajo es un establecimiento dedicado a la explotación del ganado bovino de cría. El objetivo que persigue la empresa es la producción de terneros destetados a la edad de 6 meses y con un peso de 160kg. los mismos serán vendidos a otras empresas agropecuarias dedicadas al engorde de terneros. </a:t>
          </a:r>
          <a:endParaRPr b="0" lang="es-AR" sz="1100" spc="-1" strike="noStrike">
            <a:latin typeface="Times New Roman"/>
          </a:endParaRPr>
        </a:p>
        <a:p>
          <a:pPr>
            <a:lnSpc>
              <a:spcPct val="100000"/>
            </a:lnSpc>
          </a:pPr>
          <a:r>
            <a:rPr b="0" lang="es-AR" sz="1100" spc="-1" strike="noStrike">
              <a:solidFill>
                <a:srgbClr val="000000"/>
              </a:solidFill>
              <a:latin typeface="Arial"/>
            </a:rPr>
            <a:t>El establecimiento se encuentra ubicado en el departamento Trancas, cuenta con 454 has. de las cuales en la situación analizada se encuentran ocupadas por monte mejorado con la implantación de Grama rhodes (pastura megatérmica perenne) 150 has. </a:t>
          </a:r>
          <a:endParaRPr b="0" lang="es-AR" sz="1100" spc="-1" strike="noStrike">
            <a:latin typeface="Times New Roman"/>
          </a:endParaRPr>
        </a:p>
        <a:p>
          <a:pPr>
            <a:lnSpc>
              <a:spcPct val="100000"/>
            </a:lnSpc>
          </a:pPr>
          <a:r>
            <a:rPr b="0" lang="es-AR" sz="1100" spc="-1" strike="noStrike">
              <a:solidFill>
                <a:srgbClr val="000000"/>
              </a:solidFill>
              <a:latin typeface="Arial"/>
            </a:rPr>
            <a:t>Se destinan 50 has. a la producción de avena como verdeo de invierno para hacer frente a la demanda de EM por parte de las Vaquillonas recriadas en el período invernal. </a:t>
          </a:r>
          <a:endParaRPr b="0" lang="es-AR" sz="1100" spc="-1" strike="noStrike">
            <a:latin typeface="Times New Roman"/>
          </a:endParaRPr>
        </a:p>
        <a:p>
          <a:pPr>
            <a:lnSpc>
              <a:spcPct val="100000"/>
            </a:lnSpc>
          </a:pPr>
          <a:r>
            <a:rPr b="0" lang="es-AR" sz="1100" spc="-1" strike="noStrike">
              <a:solidFill>
                <a:srgbClr val="000000"/>
              </a:solidFill>
              <a:latin typeface="Arial"/>
            </a:rPr>
            <a:t>El rodeo animal en el momento del análisis se encuentra conformado de la siguiente manera:</a:t>
          </a:r>
          <a:endParaRPr b="0" lang="es-A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829440</xdr:colOff>
      <xdr:row>40</xdr:row>
      <xdr:rowOff>86400</xdr:rowOff>
    </xdr:from>
    <xdr:to>
      <xdr:col>6</xdr:col>
      <xdr:colOff>723600</xdr:colOff>
      <xdr:row>40</xdr:row>
      <xdr:rowOff>86760</xdr:rowOff>
    </xdr:to>
    <xdr:sp>
      <xdr:nvSpPr>
        <xdr:cNvPr id="1" name="CustomShape 1"/>
        <xdr:cNvSpPr/>
      </xdr:nvSpPr>
      <xdr:spPr>
        <a:xfrm>
          <a:off x="5130720" y="8458560"/>
          <a:ext cx="78120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6</xdr:col>
      <xdr:colOff>10080</xdr:colOff>
      <xdr:row>42</xdr:row>
      <xdr:rowOff>104760</xdr:rowOff>
    </xdr:from>
    <xdr:to>
      <xdr:col>6</xdr:col>
      <xdr:colOff>742320</xdr:colOff>
      <xdr:row>42</xdr:row>
      <xdr:rowOff>105120</xdr:rowOff>
    </xdr:to>
    <xdr:sp>
      <xdr:nvSpPr>
        <xdr:cNvPr id="2" name="CustomShape 1"/>
        <xdr:cNvSpPr/>
      </xdr:nvSpPr>
      <xdr:spPr>
        <a:xfrm>
          <a:off x="5198400" y="8858160"/>
          <a:ext cx="73224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5</xdr:col>
      <xdr:colOff>829440</xdr:colOff>
      <xdr:row>44</xdr:row>
      <xdr:rowOff>105480</xdr:rowOff>
    </xdr:from>
    <xdr:to>
      <xdr:col>6</xdr:col>
      <xdr:colOff>495000</xdr:colOff>
      <xdr:row>44</xdr:row>
      <xdr:rowOff>105840</xdr:rowOff>
    </xdr:to>
    <xdr:sp>
      <xdr:nvSpPr>
        <xdr:cNvPr id="3" name="CustomShape 1"/>
        <xdr:cNvSpPr/>
      </xdr:nvSpPr>
      <xdr:spPr>
        <a:xfrm>
          <a:off x="5130720" y="9239760"/>
          <a:ext cx="55260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8</xdr:col>
      <xdr:colOff>435960</xdr:colOff>
      <xdr:row>51</xdr:row>
      <xdr:rowOff>95400</xdr:rowOff>
    </xdr:from>
    <xdr:to>
      <xdr:col>12</xdr:col>
      <xdr:colOff>84600</xdr:colOff>
      <xdr:row>51</xdr:row>
      <xdr:rowOff>96120</xdr:rowOff>
    </xdr:to>
    <xdr:sp>
      <xdr:nvSpPr>
        <xdr:cNvPr id="4" name="CustomShape 1"/>
        <xdr:cNvSpPr/>
      </xdr:nvSpPr>
      <xdr:spPr>
        <a:xfrm flipV="1">
          <a:off x="7236000" y="10582200"/>
          <a:ext cx="2933640" cy="72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6</xdr:col>
      <xdr:colOff>720</xdr:colOff>
      <xdr:row>46</xdr:row>
      <xdr:rowOff>86400</xdr:rowOff>
    </xdr:from>
    <xdr:to>
      <xdr:col>6</xdr:col>
      <xdr:colOff>371160</xdr:colOff>
      <xdr:row>46</xdr:row>
      <xdr:rowOff>86760</xdr:rowOff>
    </xdr:to>
    <xdr:sp>
      <xdr:nvSpPr>
        <xdr:cNvPr id="5" name="CustomShape 1"/>
        <xdr:cNvSpPr/>
      </xdr:nvSpPr>
      <xdr:spPr>
        <a:xfrm>
          <a:off x="5189040" y="9601560"/>
          <a:ext cx="37044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twoCellAnchor editAs="oneCell">
    <xdr:from>
      <xdr:col>5</xdr:col>
      <xdr:colOff>720</xdr:colOff>
      <xdr:row>53</xdr:row>
      <xdr:rowOff>115200</xdr:rowOff>
    </xdr:from>
    <xdr:to>
      <xdr:col>7</xdr:col>
      <xdr:colOff>75240</xdr:colOff>
      <xdr:row>53</xdr:row>
      <xdr:rowOff>115560</xdr:rowOff>
    </xdr:to>
    <xdr:sp>
      <xdr:nvSpPr>
        <xdr:cNvPr id="6" name="CustomShape 1"/>
        <xdr:cNvSpPr/>
      </xdr:nvSpPr>
      <xdr:spPr>
        <a:xfrm>
          <a:off x="4302000" y="10982880"/>
          <a:ext cx="1767600" cy="360"/>
        </a:xfrm>
        <a:custGeom>
          <a:avLst/>
          <a:gdLst/>
          <a:ahLst/>
          <a:rect l="l" t="t" r="r" b="b"/>
          <a:pathLst>
            <a:path w="21600" h="21600">
              <a:moveTo>
                <a:pt x="0" y="0"/>
              </a:moveTo>
              <a:lnTo>
                <a:pt x="21600" y="21600"/>
              </a:lnTo>
            </a:path>
          </a:pathLst>
        </a:custGeom>
        <a:noFill/>
        <a:ln w="19080">
          <a:solidFill>
            <a:srgbClr val="ffffff"/>
          </a:solidFill>
          <a:round/>
          <a:tailEnd len="med" type="triangle" w="me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I29"/>
  <sheetViews>
    <sheetView showFormulas="false" showGridLines="true" showRowColHeaders="true" showZeros="true" rightToLeft="false" tabSelected="false" showOutlineSymbols="true" defaultGridColor="true" view="normal" topLeftCell="A12" colorId="64" zoomScale="100" zoomScaleNormal="100" zoomScalePageLayoutView="100" workbookViewId="0">
      <selection pane="topLeft" activeCell="F28" activeCellId="0" sqref="F28"/>
    </sheetView>
  </sheetViews>
  <sheetFormatPr defaultRowHeight="15" zeroHeight="false" outlineLevelRow="0" outlineLevelCol="0"/>
  <cols>
    <col collapsed="false" customWidth="true" hidden="false" outlineLevel="0" max="1" min="1" style="1" width="6.57"/>
    <col collapsed="false" customWidth="true" hidden="false" outlineLevel="0" max="2" min="2" style="1" width="10.71"/>
    <col collapsed="false" customWidth="false" hidden="false" outlineLevel="0" max="3" min="3" style="1" width="11.42"/>
    <col collapsed="false" customWidth="true" hidden="false" outlineLevel="0" max="4" min="4" style="1" width="16.71"/>
    <col collapsed="false" customWidth="true" hidden="false" outlineLevel="0" max="5" min="5" style="1" width="12.86"/>
    <col collapsed="false" customWidth="true" hidden="false" outlineLevel="0" max="6" min="6" style="1" width="11.86"/>
    <col collapsed="false" customWidth="false" hidden="false" outlineLevel="0" max="8" min="7" style="1" width="11.42"/>
    <col collapsed="false" customWidth="true" hidden="false" outlineLevel="0" max="9" min="9" style="1" width="21.86"/>
    <col collapsed="false" customWidth="false" hidden="false" outlineLevel="0" max="1025" min="10" style="1" width="11.42"/>
  </cols>
  <sheetData>
    <row r="2" customFormat="false" ht="15.75" hidden="false" customHeight="false" outlineLevel="0" collapsed="false"/>
    <row r="3" customFormat="false" ht="20.25" hidden="false" customHeight="false" outlineLevel="0" collapsed="false">
      <c r="B3" s="2"/>
      <c r="C3" s="3" t="s">
        <v>0</v>
      </c>
      <c r="D3" s="3"/>
      <c r="E3" s="3"/>
      <c r="F3" s="3"/>
      <c r="G3" s="3"/>
      <c r="H3" s="4"/>
      <c r="I3" s="4"/>
    </row>
    <row r="4" customFormat="false" ht="16.5" hidden="false" customHeight="false" outlineLevel="0" collapsed="false">
      <c r="B4" s="2"/>
      <c r="C4" s="5" t="s">
        <v>1</v>
      </c>
      <c r="D4" s="5"/>
      <c r="E4" s="5"/>
      <c r="F4" s="5"/>
      <c r="G4" s="5"/>
      <c r="H4" s="6"/>
      <c r="I4" s="6"/>
    </row>
    <row r="5" customFormat="false" ht="15" hidden="false" customHeight="false" outlineLevel="0" collapsed="false">
      <c r="B5" s="7"/>
      <c r="C5" s="7"/>
      <c r="D5" s="7"/>
      <c r="E5" s="7"/>
      <c r="F5" s="7"/>
      <c r="G5" s="7"/>
      <c r="H5" s="7"/>
      <c r="I5" s="7"/>
    </row>
    <row r="6" customFormat="false" ht="15" hidden="false" customHeight="false" outlineLevel="0" collapsed="false">
      <c r="B6" s="7"/>
      <c r="C6" s="7"/>
      <c r="D6" s="7"/>
      <c r="E6" s="7"/>
      <c r="F6" s="7"/>
      <c r="G6" s="7"/>
      <c r="H6" s="7"/>
      <c r="I6" s="7"/>
    </row>
    <row r="7" customFormat="false" ht="15" hidden="false" customHeight="false" outlineLevel="0" collapsed="false">
      <c r="B7" s="7"/>
      <c r="C7" s="7"/>
      <c r="D7" s="7"/>
      <c r="E7" s="7"/>
      <c r="F7" s="7"/>
      <c r="G7" s="7"/>
      <c r="H7" s="7"/>
      <c r="I7" s="7"/>
    </row>
    <row r="8" customFormat="false" ht="111" hidden="false" customHeight="true" outlineLevel="0" collapsed="false">
      <c r="B8" s="7"/>
      <c r="C8" s="7"/>
      <c r="D8" s="7"/>
      <c r="E8" s="7"/>
      <c r="F8" s="7"/>
      <c r="G8" s="7"/>
      <c r="H8" s="7"/>
      <c r="I8" s="7"/>
    </row>
    <row r="9" customFormat="false" ht="15" hidden="false" customHeight="false" outlineLevel="0" collapsed="false">
      <c r="B9" s="8"/>
      <c r="C9" s="8"/>
      <c r="D9" s="8"/>
      <c r="E9" s="8"/>
      <c r="F9" s="8"/>
      <c r="G9" s="8"/>
      <c r="H9" s="8"/>
      <c r="I9" s="8"/>
    </row>
    <row r="10" customFormat="false" ht="15" hidden="false" customHeight="false" outlineLevel="0" collapsed="false">
      <c r="B10" s="8"/>
      <c r="C10" s="8"/>
      <c r="D10" s="8"/>
      <c r="E10" s="8"/>
      <c r="F10" s="8"/>
      <c r="G10" s="8"/>
      <c r="H10" s="8"/>
      <c r="I10" s="8"/>
    </row>
    <row r="11" customFormat="false" ht="15" hidden="false" customHeight="false" outlineLevel="0" collapsed="false">
      <c r="B11" s="8"/>
      <c r="C11" s="8"/>
      <c r="D11" s="8"/>
      <c r="E11" s="8"/>
      <c r="F11" s="8"/>
      <c r="G11" s="8"/>
      <c r="H11" s="8"/>
      <c r="I11" s="8"/>
    </row>
    <row r="12" customFormat="false" ht="15" hidden="false" customHeight="false" outlineLevel="0" collapsed="false">
      <c r="B12" s="8"/>
      <c r="C12" s="8"/>
      <c r="D12" s="8"/>
      <c r="E12" s="8"/>
      <c r="F12" s="8"/>
      <c r="G12" s="8"/>
      <c r="H12" s="8"/>
      <c r="I12" s="8"/>
    </row>
    <row r="13" customFormat="false" ht="15" hidden="false" customHeight="false" outlineLevel="0" collapsed="false">
      <c r="B13" s="9"/>
      <c r="C13" s="9"/>
      <c r="D13" s="9"/>
      <c r="E13" s="9"/>
      <c r="F13" s="9"/>
      <c r="G13" s="9"/>
      <c r="H13" s="9"/>
      <c r="I13" s="9"/>
    </row>
    <row r="14" customFormat="false" ht="15.75" hidden="false" customHeight="false" outlineLevel="0" collapsed="false"/>
    <row r="15" customFormat="false" ht="15" hidden="false" customHeight="false" outlineLevel="0" collapsed="false">
      <c r="D15" s="10" t="s">
        <v>2</v>
      </c>
      <c r="E15" s="11" t="s">
        <v>3</v>
      </c>
      <c r="F15" s="12" t="s">
        <v>4</v>
      </c>
    </row>
    <row r="16" customFormat="false" ht="15" hidden="false" customHeight="false" outlineLevel="0" collapsed="false">
      <c r="D16" s="13" t="s">
        <v>5</v>
      </c>
      <c r="E16" s="14" t="n">
        <v>200</v>
      </c>
      <c r="F16" s="15" t="n">
        <v>400</v>
      </c>
    </row>
    <row r="17" customFormat="false" ht="15" hidden="false" customHeight="false" outlineLevel="0" collapsed="false">
      <c r="D17" s="13" t="s">
        <v>6</v>
      </c>
      <c r="E17" s="14"/>
      <c r="F17" s="15" t="n">
        <f aca="false">F16*0.9</f>
        <v>360</v>
      </c>
    </row>
    <row r="18" customFormat="false" ht="15" hidden="false" customHeight="false" outlineLevel="0" collapsed="false">
      <c r="D18" s="13" t="s">
        <v>7</v>
      </c>
      <c r="E18" s="16" t="n">
        <f aca="false">ROUNDUP(($E$16*$F$25*F26)/2,0)</f>
        <v>63</v>
      </c>
      <c r="F18" s="15" t="n">
        <v>160</v>
      </c>
    </row>
    <row r="19" customFormat="false" ht="15" hidden="false" customHeight="false" outlineLevel="0" collapsed="false">
      <c r="D19" s="13" t="s">
        <v>8</v>
      </c>
      <c r="E19" s="16" t="n">
        <f aca="false">ROUNDUP(($E$16*$F$25*F26)/2,0)</f>
        <v>63</v>
      </c>
      <c r="F19" s="15" t="n">
        <v>160</v>
      </c>
    </row>
    <row r="20" customFormat="false" ht="15" hidden="false" customHeight="false" outlineLevel="0" collapsed="false">
      <c r="D20" s="13" t="s">
        <v>9</v>
      </c>
      <c r="E20" s="16" t="n">
        <f aca="false">$E$16*$F$27</f>
        <v>30</v>
      </c>
      <c r="F20" s="15" t="n">
        <v>230</v>
      </c>
    </row>
    <row r="21" customFormat="false" ht="15" hidden="false" customHeight="false" outlineLevel="0" collapsed="false">
      <c r="D21" s="13" t="s">
        <v>10</v>
      </c>
      <c r="E21" s="16" t="n">
        <f aca="false">$E$16*$F$27</f>
        <v>30</v>
      </c>
      <c r="F21" s="15" t="n">
        <v>300</v>
      </c>
    </row>
    <row r="22" customFormat="false" ht="15" hidden="false" customHeight="false" outlineLevel="0" collapsed="false">
      <c r="D22" s="13" t="s">
        <v>11</v>
      </c>
      <c r="E22" s="14" t="n">
        <f aca="false">E16*F28</f>
        <v>8</v>
      </c>
      <c r="F22" s="15" t="n">
        <v>550</v>
      </c>
    </row>
    <row r="23" customFormat="false" ht="15.75" hidden="false" customHeight="false" outlineLevel="0" collapsed="false">
      <c r="D23" s="17" t="s">
        <v>12</v>
      </c>
      <c r="E23" s="18"/>
      <c r="F23" s="19" t="n">
        <f aca="false">F22*0.9</f>
        <v>495</v>
      </c>
    </row>
    <row r="24" customFormat="false" ht="15.75" hidden="false" customHeight="false" outlineLevel="0" collapsed="false"/>
    <row r="25" customFormat="false" ht="15" hidden="false" customHeight="false" outlineLevel="0" collapsed="false">
      <c r="D25" s="20" t="s">
        <v>13</v>
      </c>
      <c r="E25" s="21"/>
      <c r="F25" s="22" t="n">
        <v>0.7</v>
      </c>
    </row>
    <row r="26" customFormat="false" ht="15" hidden="false" customHeight="false" outlineLevel="0" collapsed="false">
      <c r="D26" s="23" t="s">
        <v>14</v>
      </c>
      <c r="E26" s="24"/>
      <c r="F26" s="25" t="n">
        <v>0.9</v>
      </c>
    </row>
    <row r="27" customFormat="false" ht="15" hidden="false" customHeight="false" outlineLevel="0" collapsed="false">
      <c r="D27" s="23" t="s">
        <v>15</v>
      </c>
      <c r="E27" s="24"/>
      <c r="F27" s="25" t="n">
        <v>0.15</v>
      </c>
    </row>
    <row r="28" customFormat="false" ht="15" hidden="false" customHeight="false" outlineLevel="0" collapsed="false">
      <c r="D28" s="23" t="s">
        <v>16</v>
      </c>
      <c r="E28" s="24"/>
      <c r="F28" s="25" t="n">
        <v>0.04</v>
      </c>
    </row>
    <row r="29" customFormat="false" ht="15.75" hidden="false" customHeight="false" outlineLevel="0" collapsed="false">
      <c r="D29" s="26" t="s">
        <v>17</v>
      </c>
      <c r="E29" s="27"/>
      <c r="F29" s="28" t="s">
        <v>18</v>
      </c>
    </row>
  </sheetData>
  <mergeCells count="6">
    <mergeCell ref="C3:G3"/>
    <mergeCell ref="C4:G4"/>
    <mergeCell ref="B5:I8"/>
    <mergeCell ref="B9:I10"/>
    <mergeCell ref="B11:I12"/>
    <mergeCell ref="B13:I1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3:G6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3" activeCellId="0" sqref="C13"/>
    </sheetView>
  </sheetViews>
  <sheetFormatPr defaultRowHeight="15" zeroHeight="false" outlineLevelRow="0" outlineLevelCol="0"/>
  <cols>
    <col collapsed="false" customWidth="true" hidden="false" outlineLevel="0" max="1" min="1" style="29" width="11.71"/>
    <col collapsed="false" customWidth="true" hidden="false" outlineLevel="0" max="2" min="2" style="1" width="24.57"/>
    <col collapsed="false" customWidth="true" hidden="false" outlineLevel="0" max="3" min="3" style="1" width="15.29"/>
    <col collapsed="false" customWidth="true" hidden="false" outlineLevel="0" max="4" min="4" style="1" width="12.14"/>
    <col collapsed="false" customWidth="false" hidden="false" outlineLevel="0" max="1025" min="5" style="1" width="11.42"/>
  </cols>
  <sheetData>
    <row r="3" customFormat="false" ht="18" hidden="false" customHeight="false" outlineLevel="0" collapsed="false">
      <c r="A3" s="30" t="s">
        <v>19</v>
      </c>
      <c r="B3" s="30"/>
      <c r="C3" s="30"/>
      <c r="D3" s="30"/>
      <c r="E3" s="30"/>
      <c r="F3" s="30"/>
      <c r="G3" s="31"/>
    </row>
    <row r="4" customFormat="false" ht="18" hidden="false" customHeight="false" outlineLevel="0" collapsed="false">
      <c r="A4" s="30" t="s">
        <v>20</v>
      </c>
      <c r="B4" s="30"/>
      <c r="C4" s="30"/>
      <c r="D4" s="30"/>
      <c r="E4" s="30"/>
      <c r="F4" s="30"/>
      <c r="G4" s="31"/>
    </row>
    <row r="5" customFormat="false" ht="15" hidden="false" customHeight="false" outlineLevel="0" collapsed="false">
      <c r="A5" s="32"/>
      <c r="B5" s="33" t="s">
        <v>21</v>
      </c>
      <c r="C5" s="33"/>
      <c r="D5" s="33"/>
      <c r="E5" s="33"/>
      <c r="F5" s="33"/>
      <c r="G5" s="34"/>
    </row>
    <row r="6" customFormat="false" ht="15" hidden="false" customHeight="false" outlineLevel="0" collapsed="false">
      <c r="A6" s="32"/>
      <c r="B6" s="33"/>
      <c r="C6" s="33"/>
      <c r="D6" s="33"/>
      <c r="E6" s="33"/>
      <c r="F6" s="33"/>
      <c r="G6" s="34"/>
    </row>
    <row r="7" customFormat="false" ht="15" hidden="false" customHeight="false" outlineLevel="0" collapsed="false">
      <c r="A7" s="32"/>
      <c r="B7" s="35" t="s">
        <v>22</v>
      </c>
      <c r="C7" s="36" t="s">
        <v>23</v>
      </c>
      <c r="D7" s="36"/>
      <c r="E7" s="33"/>
      <c r="F7" s="33"/>
      <c r="G7" s="34"/>
    </row>
    <row r="8" customFormat="false" ht="15" hidden="false" customHeight="false" outlineLevel="0" collapsed="false">
      <c r="A8" s="32"/>
      <c r="B8" s="37" t="s">
        <v>24</v>
      </c>
      <c r="C8" s="33" t="n">
        <f aca="false">C66*C9</f>
        <v>23450</v>
      </c>
      <c r="D8" s="38" t="s">
        <v>25</v>
      </c>
      <c r="G8" s="34"/>
    </row>
    <row r="9" customFormat="false" ht="15.75" hidden="false" customHeight="false" outlineLevel="0" collapsed="false">
      <c r="A9" s="32"/>
      <c r="B9" s="2"/>
      <c r="C9" s="33" t="n">
        <v>350</v>
      </c>
      <c r="D9" s="38" t="s">
        <v>26</v>
      </c>
      <c r="E9" s="2"/>
      <c r="F9" s="2"/>
    </row>
    <row r="10" customFormat="false" ht="27" hidden="false" customHeight="true" outlineLevel="0" collapsed="false">
      <c r="A10" s="32"/>
      <c r="B10" s="35" t="s">
        <v>27</v>
      </c>
      <c r="C10" s="36" t="s">
        <v>23</v>
      </c>
      <c r="D10" s="36"/>
      <c r="E10" s="39" t="s">
        <v>28</v>
      </c>
      <c r="F10" s="39"/>
    </row>
    <row r="11" customFormat="false" ht="15" hidden="false" customHeight="false" outlineLevel="0" collapsed="false">
      <c r="A11" s="32"/>
      <c r="B11" s="32" t="s">
        <v>29</v>
      </c>
      <c r="C11" s="40" t="n">
        <f aca="false">E11*1.3</f>
        <v>1790.1</v>
      </c>
      <c r="D11" s="41" t="s">
        <v>30</v>
      </c>
      <c r="E11" s="42" t="n">
        <v>1377</v>
      </c>
      <c r="F11" s="43" t="s">
        <v>30</v>
      </c>
    </row>
    <row r="12" customFormat="false" ht="15" hidden="false" customHeight="false" outlineLevel="0" collapsed="false">
      <c r="A12" s="2"/>
      <c r="B12" s="2" t="s">
        <v>31</v>
      </c>
      <c r="C12" s="40" t="n">
        <f aca="false">E12*1.3</f>
        <v>2200.9</v>
      </c>
      <c r="D12" s="41" t="s">
        <v>30</v>
      </c>
      <c r="E12" s="42" t="n">
        <v>1693</v>
      </c>
      <c r="F12" s="43" t="s">
        <v>30</v>
      </c>
    </row>
    <row r="13" customFormat="false" ht="15.75" hidden="false" customHeight="false" outlineLevel="0" collapsed="false">
      <c r="A13" s="2"/>
      <c r="B13" s="2" t="s">
        <v>32</v>
      </c>
      <c r="C13" s="40" t="n">
        <f aca="false">E13*1.3</f>
        <v>47473.4</v>
      </c>
      <c r="D13" s="41" t="s">
        <v>33</v>
      </c>
      <c r="E13" s="44" t="n">
        <v>36518</v>
      </c>
      <c r="F13" s="45" t="s">
        <v>33</v>
      </c>
    </row>
    <row r="14" customFormat="false" ht="15" hidden="false" customHeight="false" outlineLevel="0" collapsed="false">
      <c r="A14" s="2"/>
      <c r="B14" s="2"/>
      <c r="C14" s="46"/>
      <c r="D14" s="41"/>
      <c r="E14" s="2"/>
      <c r="F14" s="2"/>
    </row>
    <row r="15" customFormat="false" ht="15" hidden="false" customHeight="false" outlineLevel="0" collapsed="false">
      <c r="A15" s="2"/>
      <c r="B15" s="35" t="s">
        <v>34</v>
      </c>
      <c r="C15" s="47"/>
      <c r="D15" s="48"/>
      <c r="E15" s="2"/>
      <c r="F15" s="2"/>
    </row>
    <row r="16" customFormat="false" ht="15" hidden="false" customHeight="false" outlineLevel="0" collapsed="false">
      <c r="A16" s="2"/>
      <c r="B16" s="32" t="s">
        <v>35</v>
      </c>
      <c r="C16" s="49" t="n">
        <v>2576</v>
      </c>
      <c r="D16" s="38" t="s">
        <v>25</v>
      </c>
      <c r="F16" s="38"/>
    </row>
    <row r="17" customFormat="false" ht="15" hidden="false" customHeight="false" outlineLevel="0" collapsed="false">
      <c r="A17" s="2"/>
      <c r="B17" s="32" t="s">
        <v>36</v>
      </c>
      <c r="C17" s="50" t="n">
        <v>2437</v>
      </c>
      <c r="D17" s="38" t="s">
        <v>25</v>
      </c>
      <c r="E17" s="51"/>
      <c r="F17" s="38"/>
    </row>
    <row r="18" customFormat="false" ht="15" hidden="false" customHeight="false" outlineLevel="0" collapsed="false">
      <c r="A18" s="2"/>
      <c r="B18" s="2" t="s">
        <v>37</v>
      </c>
      <c r="C18" s="50" t="n">
        <v>67</v>
      </c>
      <c r="D18" s="38" t="s">
        <v>38</v>
      </c>
      <c r="E18" s="51"/>
      <c r="F18" s="38"/>
    </row>
    <row r="19" customFormat="false" ht="15" hidden="false" customHeight="false" outlineLevel="0" collapsed="false">
      <c r="A19" s="2"/>
      <c r="B19" s="2"/>
      <c r="C19" s="46"/>
      <c r="D19" s="41"/>
      <c r="E19" s="2"/>
      <c r="F19" s="2"/>
    </row>
    <row r="20" customFormat="false" ht="15" hidden="false" customHeight="false" outlineLevel="0" collapsed="false">
      <c r="A20" s="2"/>
      <c r="B20" s="35" t="s">
        <v>39</v>
      </c>
      <c r="C20" s="47"/>
      <c r="D20" s="48"/>
      <c r="E20" s="2"/>
      <c r="F20" s="2"/>
    </row>
    <row r="21" customFormat="false" ht="15" hidden="false" customHeight="false" outlineLevel="0" collapsed="false">
      <c r="A21" s="2"/>
      <c r="B21" s="32" t="s">
        <v>40</v>
      </c>
      <c r="C21" s="52" t="n">
        <v>31.1</v>
      </c>
      <c r="D21" s="41" t="s">
        <v>41</v>
      </c>
      <c r="E21" s="51"/>
      <c r="F21" s="38"/>
    </row>
    <row r="22" customFormat="false" ht="15" hidden="false" customHeight="false" outlineLevel="0" collapsed="false">
      <c r="A22" s="2"/>
      <c r="B22" s="32" t="s">
        <v>42</v>
      </c>
      <c r="C22" s="52" t="n">
        <v>43.8</v>
      </c>
      <c r="D22" s="41" t="s">
        <v>41</v>
      </c>
      <c r="E22" s="51"/>
      <c r="F22" s="38"/>
    </row>
    <row r="23" customFormat="false" ht="15" hidden="false" customHeight="false" outlineLevel="0" collapsed="false">
      <c r="A23" s="2"/>
      <c r="B23" s="32"/>
      <c r="C23" s="46"/>
      <c r="D23" s="41"/>
      <c r="E23" s="2"/>
      <c r="F23" s="2"/>
    </row>
    <row r="24" customFormat="false" ht="15" hidden="false" customHeight="false" outlineLevel="0" collapsed="false">
      <c r="A24" s="2"/>
      <c r="B24" s="35" t="s">
        <v>43</v>
      </c>
      <c r="C24" s="47"/>
      <c r="D24" s="48"/>
      <c r="E24" s="2"/>
      <c r="F24" s="2"/>
    </row>
    <row r="25" customFormat="false" ht="15" hidden="false" customHeight="false" outlineLevel="0" collapsed="false">
      <c r="A25" s="2"/>
      <c r="B25" s="32" t="s">
        <v>44</v>
      </c>
      <c r="C25" s="52" t="n">
        <v>57.1</v>
      </c>
      <c r="D25" s="41" t="s">
        <v>45</v>
      </c>
      <c r="E25" s="2"/>
      <c r="F25" s="2"/>
    </row>
    <row r="26" customFormat="false" ht="15" hidden="false" customHeight="false" outlineLevel="0" collapsed="false">
      <c r="A26" s="2"/>
      <c r="B26" s="32" t="s">
        <v>46</v>
      </c>
      <c r="C26" s="52" t="n">
        <v>3.1</v>
      </c>
      <c r="D26" s="41" t="s">
        <v>47</v>
      </c>
      <c r="E26" s="2"/>
      <c r="F26" s="2"/>
    </row>
    <row r="27" customFormat="false" ht="15" hidden="false" customHeight="false" outlineLevel="0" collapsed="false">
      <c r="A27" s="2"/>
      <c r="B27" s="32"/>
      <c r="C27" s="53"/>
      <c r="D27" s="41"/>
      <c r="E27" s="2"/>
      <c r="F27" s="2"/>
    </row>
    <row r="28" customFormat="false" ht="15" hidden="false" customHeight="false" outlineLevel="0" collapsed="false">
      <c r="A28" s="2"/>
      <c r="B28" s="54" t="s">
        <v>48</v>
      </c>
      <c r="C28" s="55"/>
      <c r="D28" s="48"/>
      <c r="E28" s="2"/>
      <c r="F28" s="2"/>
    </row>
    <row r="29" customFormat="false" ht="15" hidden="false" customHeight="false" outlineLevel="0" collapsed="false">
      <c r="A29" s="2"/>
      <c r="B29" s="32" t="s">
        <v>49</v>
      </c>
      <c r="C29" s="56" t="n">
        <f aca="false">D29*C66</f>
        <v>335000</v>
      </c>
      <c r="D29" s="41" t="n">
        <v>5000</v>
      </c>
      <c r="E29" s="38" t="s">
        <v>50</v>
      </c>
      <c r="F29" s="2"/>
    </row>
    <row r="30" customFormat="false" ht="15" hidden="false" customHeight="false" outlineLevel="0" collapsed="false">
      <c r="A30" s="2"/>
      <c r="B30" s="32" t="s">
        <v>51</v>
      </c>
      <c r="C30" s="56" t="n">
        <f aca="false">D30*C66</f>
        <v>3234559</v>
      </c>
      <c r="D30" s="9" t="n">
        <v>48277</v>
      </c>
      <c r="E30" s="38" t="s">
        <v>50</v>
      </c>
      <c r="F30" s="2"/>
    </row>
    <row r="31" customFormat="false" ht="15" hidden="false" customHeight="false" outlineLevel="0" collapsed="false">
      <c r="A31" s="2"/>
      <c r="B31" s="32" t="s">
        <v>52</v>
      </c>
      <c r="C31" s="56" t="n">
        <v>1208888</v>
      </c>
      <c r="D31" s="41"/>
      <c r="E31" s="2"/>
      <c r="F31" s="2"/>
    </row>
    <row r="32" customFormat="false" ht="15" hidden="false" customHeight="false" outlineLevel="0" collapsed="false">
      <c r="A32" s="2"/>
      <c r="B32" s="32" t="s">
        <v>53</v>
      </c>
      <c r="C32" s="40" t="n">
        <v>250</v>
      </c>
      <c r="D32" s="41"/>
      <c r="E32" s="2"/>
      <c r="F32" s="2"/>
    </row>
    <row r="33" customFormat="false" ht="15" hidden="false" customHeight="false" outlineLevel="0" collapsed="false">
      <c r="A33" s="2"/>
      <c r="B33" s="32" t="s">
        <v>54</v>
      </c>
      <c r="C33" s="40" t="n">
        <v>178</v>
      </c>
      <c r="D33" s="41"/>
      <c r="E33" s="2"/>
      <c r="F33" s="2"/>
    </row>
    <row r="34" customFormat="false" ht="15" hidden="false" customHeight="false" outlineLevel="0" collapsed="false">
      <c r="A34" s="2"/>
      <c r="B34" s="32" t="s">
        <v>55</v>
      </c>
      <c r="C34" s="40" t="n">
        <v>85333</v>
      </c>
      <c r="D34" s="41"/>
      <c r="E34" s="2"/>
      <c r="F34" s="2"/>
    </row>
    <row r="35" customFormat="false" ht="15" hidden="false" customHeight="false" outlineLevel="0" collapsed="false">
      <c r="A35" s="2"/>
      <c r="B35" s="32" t="s">
        <v>56</v>
      </c>
      <c r="C35" s="40" t="n">
        <v>142222</v>
      </c>
      <c r="D35" s="41"/>
      <c r="E35" s="2"/>
      <c r="F35" s="2"/>
    </row>
    <row r="36" customFormat="false" ht="15" hidden="false" customHeight="false" outlineLevel="0" collapsed="false">
      <c r="A36" s="2"/>
      <c r="B36" s="32"/>
      <c r="C36" s="53"/>
      <c r="D36" s="41"/>
      <c r="E36" s="2"/>
      <c r="F36" s="2"/>
    </row>
    <row r="37" customFormat="false" ht="15" hidden="false" customHeight="false" outlineLevel="0" collapsed="false">
      <c r="A37" s="2"/>
      <c r="B37" s="35" t="s">
        <v>57</v>
      </c>
      <c r="C37" s="55"/>
      <c r="D37" s="48"/>
      <c r="E37" s="2"/>
      <c r="F37" s="2"/>
    </row>
    <row r="38" customFormat="false" ht="15" hidden="false" customHeight="false" outlineLevel="0" collapsed="false">
      <c r="A38" s="2"/>
      <c r="B38" s="32" t="s">
        <v>58</v>
      </c>
      <c r="C38" s="40" t="n">
        <v>1616000</v>
      </c>
      <c r="D38" s="41"/>
      <c r="E38" s="2"/>
      <c r="F38" s="2"/>
    </row>
    <row r="39" customFormat="false" ht="15" hidden="false" customHeight="false" outlineLevel="0" collapsed="false">
      <c r="A39" s="2"/>
      <c r="B39" s="57" t="s">
        <v>59</v>
      </c>
      <c r="C39" s="40" t="n">
        <v>215600</v>
      </c>
      <c r="D39" s="41"/>
      <c r="E39" s="2"/>
      <c r="F39" s="2"/>
    </row>
    <row r="40" customFormat="false" ht="15" hidden="false" customHeight="false" outlineLevel="0" collapsed="false">
      <c r="A40" s="2"/>
      <c r="B40" s="57" t="s">
        <v>60</v>
      </c>
      <c r="C40" s="40" t="n">
        <v>14000</v>
      </c>
      <c r="D40" s="41"/>
      <c r="E40" s="2"/>
      <c r="F40" s="2"/>
    </row>
    <row r="41" customFormat="false" ht="15" hidden="false" customHeight="false" outlineLevel="0" collapsed="false">
      <c r="A41" s="2"/>
      <c r="B41" s="57" t="s">
        <v>61</v>
      </c>
      <c r="C41" s="40" t="n">
        <v>3234</v>
      </c>
      <c r="D41" s="41"/>
      <c r="E41" s="2"/>
      <c r="F41" s="2"/>
    </row>
    <row r="42" customFormat="false" ht="15" hidden="false" customHeight="false" outlineLevel="0" collapsed="false">
      <c r="A42" s="2"/>
      <c r="B42" s="57"/>
      <c r="C42" s="40"/>
      <c r="D42" s="41"/>
      <c r="E42" s="2"/>
      <c r="F42" s="2"/>
    </row>
    <row r="43" customFormat="false" ht="15" hidden="false" customHeight="false" outlineLevel="0" collapsed="false">
      <c r="A43" s="2"/>
      <c r="B43" s="35" t="s">
        <v>62</v>
      </c>
      <c r="C43" s="55"/>
      <c r="D43" s="48"/>
      <c r="E43" s="2"/>
      <c r="F43" s="2"/>
    </row>
    <row r="44" customFormat="false" ht="15" hidden="false" customHeight="false" outlineLevel="0" collapsed="false">
      <c r="A44" s="2"/>
      <c r="B44" s="57" t="s">
        <v>63</v>
      </c>
      <c r="C44" s="52" t="n">
        <v>75</v>
      </c>
      <c r="D44" s="41" t="s">
        <v>64</v>
      </c>
      <c r="E44" s="2"/>
      <c r="F44" s="2"/>
    </row>
    <row r="45" customFormat="false" ht="15" hidden="false" customHeight="false" outlineLevel="0" collapsed="false">
      <c r="A45" s="2"/>
      <c r="B45" s="57" t="s">
        <v>65</v>
      </c>
      <c r="C45" s="52" t="n">
        <f aca="false">0.76*C66</f>
        <v>50.92</v>
      </c>
      <c r="D45" s="41" t="s">
        <v>64</v>
      </c>
      <c r="E45" s="2"/>
      <c r="F45" s="2"/>
    </row>
    <row r="46" customFormat="false" ht="15" hidden="false" customHeight="false" outlineLevel="0" collapsed="false">
      <c r="A46" s="2"/>
      <c r="B46" s="57" t="s">
        <v>66</v>
      </c>
      <c r="C46" s="52" t="n">
        <f aca="false">0.19*C66</f>
        <v>12.73</v>
      </c>
      <c r="D46" s="41" t="s">
        <v>64</v>
      </c>
      <c r="E46" s="2"/>
      <c r="F46" s="2"/>
    </row>
    <row r="47" customFormat="false" ht="15" hidden="false" customHeight="false" outlineLevel="0" collapsed="false">
      <c r="A47" s="2"/>
      <c r="B47" s="57" t="s">
        <v>67</v>
      </c>
      <c r="C47" s="52" t="n">
        <f aca="false">0.5*C66</f>
        <v>33.5</v>
      </c>
      <c r="D47" s="41" t="s">
        <v>64</v>
      </c>
      <c r="E47" s="2"/>
      <c r="F47" s="2"/>
    </row>
    <row r="48" customFormat="false" ht="15" hidden="false" customHeight="false" outlineLevel="0" collapsed="false">
      <c r="A48" s="32"/>
      <c r="B48" s="32"/>
      <c r="C48" s="9"/>
      <c r="D48" s="41"/>
      <c r="E48" s="2"/>
      <c r="F48" s="2"/>
    </row>
    <row r="49" customFormat="false" ht="15" hidden="false" customHeight="false" outlineLevel="0" collapsed="false">
      <c r="A49" s="2"/>
      <c r="B49" s="58" t="s">
        <v>68</v>
      </c>
      <c r="C49" s="48"/>
      <c r="D49" s="48"/>
      <c r="E49" s="2"/>
      <c r="F49" s="2"/>
    </row>
    <row r="50" customFormat="false" ht="15" hidden="false" customHeight="false" outlineLevel="0" collapsed="false">
      <c r="A50" s="2"/>
      <c r="B50" s="38" t="s">
        <v>8</v>
      </c>
      <c r="C50" s="59" t="n">
        <v>140</v>
      </c>
      <c r="D50" s="41" t="s">
        <v>41</v>
      </c>
      <c r="E50" s="2"/>
      <c r="F50" s="2"/>
    </row>
    <row r="51" customFormat="false" ht="15" hidden="false" customHeight="false" outlineLevel="0" collapsed="false">
      <c r="A51" s="2"/>
      <c r="B51" s="60" t="s">
        <v>7</v>
      </c>
      <c r="C51" s="59" t="n">
        <v>135</v>
      </c>
      <c r="D51" s="41" t="s">
        <v>41</v>
      </c>
      <c r="E51" s="2"/>
      <c r="F51" s="2"/>
    </row>
    <row r="52" customFormat="false" ht="15" hidden="false" customHeight="false" outlineLevel="0" collapsed="false">
      <c r="A52" s="2"/>
      <c r="B52" s="60" t="s">
        <v>69</v>
      </c>
      <c r="C52" s="59" t="n">
        <v>106</v>
      </c>
      <c r="D52" s="41" t="s">
        <v>41</v>
      </c>
      <c r="E52" s="2"/>
      <c r="F52" s="2"/>
    </row>
    <row r="53" customFormat="false" ht="15" hidden="false" customHeight="false" outlineLevel="0" collapsed="false">
      <c r="A53" s="2"/>
      <c r="B53" s="60" t="s">
        <v>70</v>
      </c>
      <c r="C53" s="59" t="n">
        <v>94</v>
      </c>
      <c r="D53" s="41" t="s">
        <v>41</v>
      </c>
      <c r="E53" s="2"/>
      <c r="F53" s="2"/>
    </row>
    <row r="54" customFormat="false" ht="15" hidden="false" customHeight="false" outlineLevel="0" collapsed="false">
      <c r="A54" s="2"/>
      <c r="B54" s="60" t="s">
        <v>71</v>
      </c>
      <c r="C54" s="59" t="n">
        <v>80</v>
      </c>
      <c r="D54" s="41" t="s">
        <v>41</v>
      </c>
      <c r="E54" s="2"/>
      <c r="F54" s="2"/>
    </row>
    <row r="55" customFormat="false" ht="15" hidden="false" customHeight="false" outlineLevel="0" collapsed="false">
      <c r="A55" s="2"/>
      <c r="B55" s="60" t="s">
        <v>6</v>
      </c>
      <c r="C55" s="59" t="n">
        <v>65</v>
      </c>
      <c r="D55" s="41" t="s">
        <v>41</v>
      </c>
      <c r="E55" s="2"/>
      <c r="F55" s="2"/>
    </row>
    <row r="56" customFormat="false" ht="15" hidden="false" customHeight="false" outlineLevel="0" collapsed="false">
      <c r="A56" s="2"/>
      <c r="B56" s="60" t="s">
        <v>12</v>
      </c>
      <c r="C56" s="59" t="n">
        <v>75</v>
      </c>
      <c r="D56" s="41" t="s">
        <v>41</v>
      </c>
      <c r="E56" s="2"/>
      <c r="F56" s="2"/>
    </row>
    <row r="57" customFormat="false" ht="15" hidden="false" customHeight="false" outlineLevel="0" collapsed="false">
      <c r="A57" s="32"/>
      <c r="B57" s="60" t="s">
        <v>72</v>
      </c>
      <c r="C57" s="40" t="n">
        <v>70000</v>
      </c>
      <c r="D57" s="2" t="s">
        <v>73</v>
      </c>
      <c r="E57" s="2"/>
      <c r="F57" s="2"/>
    </row>
    <row r="58" customFormat="false" ht="15" hidden="false" customHeight="false" outlineLevel="0" collapsed="false">
      <c r="A58" s="32"/>
      <c r="B58" s="60" t="s">
        <v>74</v>
      </c>
      <c r="C58" s="40" t="n">
        <v>39000</v>
      </c>
      <c r="D58" s="2" t="s">
        <v>73</v>
      </c>
      <c r="E58" s="2"/>
      <c r="F58" s="2"/>
    </row>
    <row r="59" customFormat="false" ht="15" hidden="false" customHeight="false" outlineLevel="0" collapsed="false">
      <c r="A59" s="32"/>
      <c r="B59" s="60" t="s">
        <v>75</v>
      </c>
      <c r="C59" s="40" t="n">
        <v>42000</v>
      </c>
      <c r="D59" s="2" t="s">
        <v>73</v>
      </c>
      <c r="E59" s="2"/>
      <c r="F59" s="2"/>
    </row>
    <row r="60" customFormat="false" ht="15" hidden="false" customHeight="false" outlineLevel="0" collapsed="false">
      <c r="A60" s="32"/>
      <c r="B60" s="60" t="s">
        <v>76</v>
      </c>
      <c r="C60" s="40" t="n">
        <v>32000</v>
      </c>
      <c r="D60" s="2" t="s">
        <v>73</v>
      </c>
      <c r="E60" s="2"/>
      <c r="F60" s="2"/>
    </row>
    <row r="61" customFormat="false" ht="15" hidden="false" customHeight="false" outlineLevel="0" collapsed="false">
      <c r="A61" s="32"/>
      <c r="B61" s="60"/>
      <c r="C61" s="40"/>
      <c r="D61" s="2"/>
      <c r="E61" s="2"/>
      <c r="F61" s="2"/>
    </row>
    <row r="62" customFormat="false" ht="15" hidden="false" customHeight="false" outlineLevel="0" collapsed="false">
      <c r="A62" s="32"/>
      <c r="B62" s="35" t="s">
        <v>77</v>
      </c>
      <c r="C62" s="48"/>
      <c r="D62" s="48"/>
      <c r="E62" s="2"/>
      <c r="F62" s="2"/>
    </row>
    <row r="63" customFormat="false" ht="15" hidden="false" customHeight="false" outlineLevel="0" collapsed="false">
      <c r="B63" s="1" t="s">
        <v>78</v>
      </c>
      <c r="C63" s="61" t="n">
        <f aca="false">C64*C66</f>
        <v>402</v>
      </c>
      <c r="D63" s="1" t="s">
        <v>79</v>
      </c>
    </row>
    <row r="64" customFormat="false" ht="15" hidden="false" customHeight="false" outlineLevel="0" collapsed="false">
      <c r="B64" s="1" t="s">
        <v>80</v>
      </c>
      <c r="C64" s="61" t="n">
        <v>6</v>
      </c>
      <c r="D64" s="1" t="s">
        <v>81</v>
      </c>
    </row>
    <row r="65" customFormat="false" ht="15" hidden="false" customHeight="false" outlineLevel="0" collapsed="false">
      <c r="B65" s="35" t="s">
        <v>82</v>
      </c>
      <c r="C65" s="62"/>
      <c r="D65" s="62"/>
    </row>
    <row r="66" customFormat="false" ht="15" hidden="false" customHeight="false" outlineLevel="0" collapsed="false">
      <c r="B66" s="1" t="s">
        <v>83</v>
      </c>
      <c r="C66" s="1" t="n">
        <v>67</v>
      </c>
      <c r="D66" s="1" t="s">
        <v>50</v>
      </c>
    </row>
  </sheetData>
  <mergeCells count="5">
    <mergeCell ref="A3:F3"/>
    <mergeCell ref="A4:F4"/>
    <mergeCell ref="C7:D7"/>
    <mergeCell ref="C10:D10"/>
    <mergeCell ref="E10:F10"/>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1:R59"/>
  <sheetViews>
    <sheetView showFormulas="false" showGridLines="true" showRowColHeaders="true" showZeros="true" rightToLeft="false" tabSelected="true" showOutlineSymbols="true" defaultGridColor="true" view="normal" topLeftCell="A18" colorId="64" zoomScale="100" zoomScaleNormal="100" zoomScalePageLayoutView="100" workbookViewId="0">
      <selection pane="topLeft" activeCell="K25" activeCellId="0" sqref="K25"/>
    </sheetView>
  </sheetViews>
  <sheetFormatPr defaultRowHeight="15" zeroHeight="false" outlineLevelRow="0" outlineLevelCol="0"/>
  <cols>
    <col collapsed="false" customWidth="true" hidden="false" outlineLevel="0" max="1" min="1" style="1" width="6.71"/>
    <col collapsed="false" customWidth="true" hidden="false" outlineLevel="0" max="2" min="2" style="1" width="24.87"/>
    <col collapsed="false" customWidth="true" hidden="false" outlineLevel="0" max="3" min="3" style="1" width="16.57"/>
    <col collapsed="false" customWidth="true" hidden="false" outlineLevel="0" max="4" min="4" style="1" width="7.29"/>
    <col collapsed="false" customWidth="true" hidden="false" outlineLevel="0" max="5" min="5" style="1" width="14.57"/>
    <col collapsed="false" customWidth="true" hidden="false" outlineLevel="0" max="6" min="6" style="1" width="14.01"/>
    <col collapsed="false" customWidth="true" hidden="false" outlineLevel="0" max="7" min="7" style="1" width="12.86"/>
    <col collapsed="false" customWidth="true" hidden="false" outlineLevel="0" max="8" min="8" style="1" width="6.88"/>
    <col collapsed="false" customWidth="true" hidden="false" outlineLevel="0" max="9" min="9" style="1" width="7.71"/>
    <col collapsed="false" customWidth="true" hidden="false" outlineLevel="0" max="10" min="10" style="1" width="9"/>
    <col collapsed="false" customWidth="true" hidden="false" outlineLevel="0" max="11" min="11" style="1" width="10"/>
    <col collapsed="false" customWidth="true" hidden="false" outlineLevel="0" max="12" min="12" style="1" width="10.99"/>
    <col collapsed="false" customWidth="true" hidden="false" outlineLevel="0" max="13" min="13" style="1" width="6.71"/>
    <col collapsed="false" customWidth="true" hidden="false" outlineLevel="0" max="14" min="14" style="1" width="10"/>
    <col collapsed="false" customWidth="false" hidden="false" outlineLevel="0" max="1025" min="15" style="1" width="11.42"/>
  </cols>
  <sheetData>
    <row r="1" customFormat="false" ht="13.8" hidden="false" customHeight="false" outlineLevel="0" collapsed="false"/>
    <row r="2" customFormat="false" ht="13.8" hidden="false" customHeight="false" outlineLevel="0" collapsed="false"/>
    <row r="3" customFormat="false" ht="13.8" hidden="false" customHeight="false" outlineLevel="0" collapsed="false">
      <c r="B3" s="63" t="s">
        <v>84</v>
      </c>
      <c r="C3" s="64"/>
      <c r="D3" s="64"/>
      <c r="E3" s="64"/>
      <c r="F3" s="64"/>
      <c r="G3" s="64"/>
      <c r="H3" s="64"/>
      <c r="I3" s="64"/>
      <c r="J3" s="64"/>
      <c r="K3" s="64"/>
      <c r="L3" s="64"/>
      <c r="M3" s="64"/>
      <c r="N3" s="65"/>
      <c r="O3" s="66"/>
      <c r="Q3" s="66"/>
      <c r="R3" s="67"/>
    </row>
    <row r="4" customFormat="false" ht="13.8" hidden="false" customHeight="false" outlineLevel="0" collapsed="false">
      <c r="B4" s="68"/>
      <c r="C4" s="69" t="s">
        <v>85</v>
      </c>
      <c r="D4" s="69" t="s">
        <v>86</v>
      </c>
      <c r="E4" s="69" t="s">
        <v>87</v>
      </c>
      <c r="F4" s="69" t="s">
        <v>88</v>
      </c>
      <c r="G4" s="69" t="s">
        <v>89</v>
      </c>
      <c r="H4" s="69" t="s">
        <v>90</v>
      </c>
      <c r="I4" s="69" t="s">
        <v>91</v>
      </c>
      <c r="J4" s="69" t="s">
        <v>92</v>
      </c>
      <c r="K4" s="69" t="s">
        <v>93</v>
      </c>
      <c r="L4" s="69" t="s">
        <v>94</v>
      </c>
      <c r="M4" s="70" t="s">
        <v>95</v>
      </c>
      <c r="N4" s="70"/>
      <c r="O4" s="66"/>
      <c r="Q4" s="66"/>
      <c r="R4" s="67"/>
    </row>
    <row r="5" customFormat="false" ht="13.8" hidden="false" customHeight="false" outlineLevel="0" collapsed="false">
      <c r="B5" s="68"/>
      <c r="C5" s="69"/>
      <c r="D5" s="69"/>
      <c r="E5" s="71" t="s">
        <v>96</v>
      </c>
      <c r="F5" s="71" t="s">
        <v>96</v>
      </c>
      <c r="G5" s="71" t="s">
        <v>96</v>
      </c>
      <c r="H5" s="71" t="s">
        <v>97</v>
      </c>
      <c r="I5" s="71" t="s">
        <v>97</v>
      </c>
      <c r="J5" s="71" t="s">
        <v>98</v>
      </c>
      <c r="K5" s="71" t="s">
        <v>99</v>
      </c>
      <c r="L5" s="71" t="s">
        <v>99</v>
      </c>
      <c r="M5" s="71" t="s">
        <v>100</v>
      </c>
      <c r="N5" s="72" t="s">
        <v>101</v>
      </c>
      <c r="O5" s="66"/>
      <c r="Q5" s="66"/>
      <c r="R5" s="67"/>
    </row>
    <row r="6" customFormat="false" ht="13.8" hidden="false" customHeight="false" outlineLevel="0" collapsed="false">
      <c r="B6" s="73" t="s">
        <v>102</v>
      </c>
      <c r="C6" s="74" t="s">
        <v>103</v>
      </c>
      <c r="D6" s="74" t="n">
        <v>150</v>
      </c>
      <c r="E6" s="74" t="n">
        <f aca="false">Precios!C8</f>
        <v>23450</v>
      </c>
      <c r="F6" s="74" t="n">
        <f aca="false">E6*D6</f>
        <v>3517500</v>
      </c>
      <c r="G6" s="74"/>
      <c r="H6" s="74"/>
      <c r="I6" s="74"/>
      <c r="J6" s="74"/>
      <c r="K6" s="74"/>
      <c r="L6" s="74"/>
      <c r="M6" s="74"/>
      <c r="N6" s="75"/>
      <c r="O6" s="66"/>
      <c r="Q6" s="66"/>
      <c r="R6" s="67"/>
    </row>
    <row r="7" customFormat="false" ht="13.8" hidden="false" customHeight="false" outlineLevel="0" collapsed="false">
      <c r="B7" s="76" t="s">
        <v>104</v>
      </c>
      <c r="C7" s="74" t="s">
        <v>103</v>
      </c>
      <c r="D7" s="74" t="n">
        <v>50</v>
      </c>
      <c r="E7" s="74" t="n">
        <f aca="false">E6</f>
        <v>23450</v>
      </c>
      <c r="F7" s="74" t="n">
        <f aca="false">E7*D7</f>
        <v>1172500</v>
      </c>
      <c r="G7" s="74"/>
      <c r="H7" s="74"/>
      <c r="I7" s="74"/>
      <c r="J7" s="74"/>
      <c r="K7" s="74"/>
      <c r="L7" s="74"/>
      <c r="M7" s="74"/>
      <c r="N7" s="75"/>
      <c r="O7" s="66"/>
      <c r="Q7" s="66"/>
      <c r="R7" s="67"/>
    </row>
    <row r="8" customFormat="false" ht="13.8" hidden="false" customHeight="false" outlineLevel="0" collapsed="false">
      <c r="B8" s="76" t="s">
        <v>105</v>
      </c>
      <c r="C8" s="74" t="s">
        <v>103</v>
      </c>
      <c r="D8" s="74" t="n">
        <v>4</v>
      </c>
      <c r="E8" s="74" t="n">
        <f aca="false">E6</f>
        <v>23450</v>
      </c>
      <c r="F8" s="74" t="n">
        <f aca="false">E8*D8</f>
        <v>93800</v>
      </c>
      <c r="G8" s="74"/>
      <c r="H8" s="74"/>
      <c r="I8" s="74"/>
      <c r="J8" s="74"/>
      <c r="K8" s="74"/>
      <c r="L8" s="74"/>
      <c r="M8" s="74"/>
      <c r="N8" s="75"/>
      <c r="O8" s="66"/>
      <c r="Q8" s="66"/>
      <c r="R8" s="67"/>
    </row>
    <row r="9" customFormat="false" ht="13.8" hidden="false" customHeight="false" outlineLevel="0" collapsed="false">
      <c r="B9" s="76" t="s">
        <v>106</v>
      </c>
      <c r="C9" s="74" t="s">
        <v>103</v>
      </c>
      <c r="D9" s="74" t="n">
        <v>250</v>
      </c>
      <c r="E9" s="74" t="n">
        <f aca="false">E7</f>
        <v>23450</v>
      </c>
      <c r="F9" s="74" t="n">
        <f aca="false">E9*D9</f>
        <v>5862500</v>
      </c>
      <c r="G9" s="74"/>
      <c r="H9" s="74"/>
      <c r="I9" s="74"/>
      <c r="J9" s="74"/>
      <c r="K9" s="74"/>
      <c r="L9" s="74"/>
      <c r="M9" s="74"/>
      <c r="N9" s="75"/>
      <c r="O9" s="66"/>
      <c r="Q9" s="66"/>
      <c r="R9" s="67"/>
    </row>
    <row r="10" customFormat="false" ht="13.8" hidden="false" customHeight="false" outlineLevel="0" collapsed="false">
      <c r="B10" s="77" t="s">
        <v>107</v>
      </c>
      <c r="C10" s="78" t="s">
        <v>103</v>
      </c>
      <c r="D10" s="78" t="n">
        <f aca="false">SUM(D6:D9)</f>
        <v>454</v>
      </c>
      <c r="E10" s="78" t="n">
        <f aca="false">E6</f>
        <v>23450</v>
      </c>
      <c r="F10" s="78" t="n">
        <f aca="false">E10*D10</f>
        <v>10646300</v>
      </c>
      <c r="G10" s="78"/>
      <c r="H10" s="78"/>
      <c r="I10" s="78"/>
      <c r="J10" s="78"/>
      <c r="K10" s="78"/>
      <c r="L10" s="78"/>
      <c r="M10" s="78" t="n">
        <v>0.05</v>
      </c>
      <c r="N10" s="79" t="n">
        <f aca="false">F10*M10</f>
        <v>532315</v>
      </c>
      <c r="O10" s="66"/>
      <c r="Q10" s="66"/>
      <c r="R10" s="67"/>
    </row>
    <row r="11" customFormat="false" ht="13.8" hidden="false" customHeight="false" outlineLevel="0" collapsed="false">
      <c r="B11" s="80"/>
      <c r="C11" s="80"/>
      <c r="D11" s="80"/>
      <c r="E11" s="80"/>
      <c r="F11" s="80"/>
      <c r="G11" s="80"/>
      <c r="H11" s="80"/>
      <c r="I11" s="80"/>
      <c r="J11" s="80"/>
      <c r="K11" s="80"/>
      <c r="L11" s="80"/>
      <c r="M11" s="80"/>
      <c r="N11" s="80"/>
      <c r="O11" s="66"/>
      <c r="Q11" s="66"/>
      <c r="R11" s="67"/>
    </row>
    <row r="12" customFormat="false" ht="13.8" hidden="false" customHeight="false" outlineLevel="0" collapsed="false">
      <c r="B12" s="80"/>
      <c r="C12" s="80"/>
      <c r="D12" s="80"/>
      <c r="E12" s="80"/>
      <c r="F12" s="80"/>
      <c r="G12" s="80"/>
      <c r="H12" s="80"/>
      <c r="I12" s="80"/>
      <c r="J12" s="80"/>
      <c r="K12" s="80"/>
      <c r="L12" s="80"/>
      <c r="M12" s="80"/>
      <c r="N12" s="80"/>
      <c r="O12" s="66"/>
      <c r="Q12" s="66"/>
      <c r="R12" s="67"/>
    </row>
    <row r="13" customFormat="false" ht="13.8" hidden="false" customHeight="false" outlineLevel="0" collapsed="false">
      <c r="B13" s="63" t="s">
        <v>108</v>
      </c>
      <c r="C13" s="63"/>
      <c r="D13" s="63"/>
      <c r="E13" s="64"/>
      <c r="F13" s="64"/>
      <c r="G13" s="64"/>
      <c r="H13" s="64"/>
      <c r="I13" s="64"/>
      <c r="J13" s="64"/>
      <c r="K13" s="64"/>
      <c r="L13" s="64"/>
      <c r="M13" s="64"/>
      <c r="N13" s="65"/>
      <c r="O13" s="66"/>
      <c r="Q13" s="66"/>
      <c r="R13" s="67"/>
    </row>
    <row r="14" customFormat="false" ht="13.8" hidden="false" customHeight="false" outlineLevel="0" collapsed="false">
      <c r="B14" s="68"/>
      <c r="C14" s="69" t="s">
        <v>85</v>
      </c>
      <c r="D14" s="69" t="s">
        <v>86</v>
      </c>
      <c r="E14" s="69" t="s">
        <v>87</v>
      </c>
      <c r="F14" s="69" t="s">
        <v>88</v>
      </c>
      <c r="G14" s="69" t="s">
        <v>89</v>
      </c>
      <c r="H14" s="69" t="s">
        <v>90</v>
      </c>
      <c r="I14" s="69" t="s">
        <v>91</v>
      </c>
      <c r="J14" s="69" t="s">
        <v>92</v>
      </c>
      <c r="K14" s="69" t="s">
        <v>93</v>
      </c>
      <c r="L14" s="69" t="s">
        <v>94</v>
      </c>
      <c r="M14" s="70" t="s">
        <v>95</v>
      </c>
      <c r="N14" s="70"/>
      <c r="O14" s="66"/>
      <c r="Q14" s="66"/>
      <c r="R14" s="67"/>
    </row>
    <row r="15" customFormat="false" ht="13.8" hidden="false" customHeight="false" outlineLevel="0" collapsed="false">
      <c r="B15" s="68"/>
      <c r="C15" s="69"/>
      <c r="D15" s="69"/>
      <c r="E15" s="71" t="s">
        <v>96</v>
      </c>
      <c r="F15" s="71" t="s">
        <v>96</v>
      </c>
      <c r="G15" s="71" t="s">
        <v>96</v>
      </c>
      <c r="H15" s="71" t="s">
        <v>97</v>
      </c>
      <c r="I15" s="71" t="s">
        <v>97</v>
      </c>
      <c r="J15" s="71" t="s">
        <v>98</v>
      </c>
      <c r="K15" s="71" t="s">
        <v>99</v>
      </c>
      <c r="L15" s="71" t="s">
        <v>99</v>
      </c>
      <c r="M15" s="71" t="s">
        <v>100</v>
      </c>
      <c r="N15" s="72" t="s">
        <v>101</v>
      </c>
      <c r="O15" s="66"/>
      <c r="Q15" s="66"/>
      <c r="R15" s="67"/>
    </row>
    <row r="16" customFormat="false" ht="13.8" hidden="false" customHeight="false" outlineLevel="0" collapsed="false">
      <c r="B16" s="81" t="s">
        <v>109</v>
      </c>
      <c r="C16" s="78" t="s">
        <v>110</v>
      </c>
      <c r="D16" s="78" t="n">
        <v>1</v>
      </c>
      <c r="E16" s="82" t="n">
        <f aca="false">Precios!C29</f>
        <v>335000</v>
      </c>
      <c r="F16" s="83" t="n">
        <f aca="false">E16*D16</f>
        <v>335000</v>
      </c>
      <c r="G16" s="78"/>
      <c r="H16" s="78"/>
      <c r="I16" s="78"/>
      <c r="J16" s="78"/>
      <c r="K16" s="78"/>
      <c r="L16" s="78"/>
      <c r="M16" s="78" t="n">
        <v>0.05</v>
      </c>
      <c r="N16" s="79" t="n">
        <f aca="false">F16*M16</f>
        <v>16750</v>
      </c>
      <c r="O16" s="66"/>
      <c r="Q16" s="66"/>
      <c r="R16" s="67"/>
    </row>
    <row r="17" customFormat="false" ht="15.75" hidden="false" customHeight="false" outlineLevel="0" collapsed="false">
      <c r="B17" s="80"/>
      <c r="C17" s="80"/>
      <c r="D17" s="80"/>
      <c r="E17" s="80"/>
      <c r="F17" s="80"/>
      <c r="G17" s="80"/>
      <c r="H17" s="80"/>
      <c r="I17" s="80"/>
      <c r="J17" s="80"/>
      <c r="K17" s="80"/>
      <c r="L17" s="80"/>
      <c r="M17" s="80"/>
      <c r="N17" s="80"/>
      <c r="O17" s="66"/>
      <c r="Q17" s="66"/>
      <c r="R17" s="67"/>
    </row>
    <row r="18" customFormat="false" ht="15.75" hidden="false" customHeight="false" outlineLevel="0" collapsed="false">
      <c r="B18" s="63" t="s">
        <v>111</v>
      </c>
      <c r="C18" s="84"/>
      <c r="D18" s="84"/>
      <c r="E18" s="64"/>
      <c r="F18" s="64"/>
      <c r="G18" s="64"/>
      <c r="H18" s="64"/>
      <c r="I18" s="64"/>
      <c r="J18" s="64"/>
      <c r="K18" s="64"/>
      <c r="L18" s="64"/>
      <c r="M18" s="64"/>
      <c r="N18" s="65"/>
      <c r="O18" s="66"/>
      <c r="Q18" s="66"/>
      <c r="R18" s="67"/>
    </row>
    <row r="19" customFormat="false" ht="15" hidden="false" customHeight="false" outlineLevel="0" collapsed="false">
      <c r="B19" s="68"/>
      <c r="C19" s="69" t="s">
        <v>85</v>
      </c>
      <c r="D19" s="69" t="s">
        <v>86</v>
      </c>
      <c r="E19" s="69" t="s">
        <v>87</v>
      </c>
      <c r="F19" s="69" t="s">
        <v>88</v>
      </c>
      <c r="G19" s="69" t="s">
        <v>89</v>
      </c>
      <c r="H19" s="69" t="s">
        <v>90</v>
      </c>
      <c r="I19" s="69" t="s">
        <v>91</v>
      </c>
      <c r="J19" s="69" t="s">
        <v>92</v>
      </c>
      <c r="K19" s="69" t="s">
        <v>93</v>
      </c>
      <c r="L19" s="69" t="s">
        <v>94</v>
      </c>
      <c r="M19" s="70" t="s">
        <v>95</v>
      </c>
      <c r="N19" s="70"/>
      <c r="O19" s="66"/>
      <c r="Q19" s="66"/>
      <c r="R19" s="67"/>
    </row>
    <row r="20" customFormat="false" ht="15" hidden="false" customHeight="false" outlineLevel="0" collapsed="false">
      <c r="B20" s="68"/>
      <c r="C20" s="71"/>
      <c r="D20" s="71"/>
      <c r="E20" s="71" t="s">
        <v>96</v>
      </c>
      <c r="F20" s="71" t="s">
        <v>96</v>
      </c>
      <c r="G20" s="71" t="s">
        <v>96</v>
      </c>
      <c r="H20" s="71" t="s">
        <v>97</v>
      </c>
      <c r="I20" s="71" t="s">
        <v>97</v>
      </c>
      <c r="J20" s="71" t="s">
        <v>112</v>
      </c>
      <c r="K20" s="71" t="s">
        <v>96</v>
      </c>
      <c r="L20" s="71" t="s">
        <v>96</v>
      </c>
      <c r="M20" s="71" t="s">
        <v>100</v>
      </c>
      <c r="N20" s="72" t="s">
        <v>101</v>
      </c>
      <c r="O20" s="66"/>
      <c r="Q20" s="66"/>
      <c r="R20" s="67"/>
    </row>
    <row r="21" customFormat="false" ht="15" hidden="false" customHeight="false" outlineLevel="0" collapsed="false">
      <c r="B21" s="85" t="s">
        <v>113</v>
      </c>
      <c r="C21" s="74"/>
      <c r="D21" s="74"/>
      <c r="E21" s="74"/>
      <c r="F21" s="74"/>
      <c r="G21" s="74"/>
      <c r="H21" s="74"/>
      <c r="I21" s="74"/>
      <c r="J21" s="74"/>
      <c r="K21" s="74"/>
      <c r="L21" s="74"/>
      <c r="M21" s="74"/>
      <c r="N21" s="86"/>
      <c r="O21" s="66"/>
      <c r="Q21" s="66"/>
      <c r="R21" s="67"/>
    </row>
    <row r="22" customFormat="false" ht="13.8" hidden="false" customHeight="false" outlineLevel="0" collapsed="false">
      <c r="B22" s="87" t="s">
        <v>114</v>
      </c>
      <c r="C22" s="74" t="s">
        <v>115</v>
      </c>
      <c r="D22" s="74" t="n">
        <v>2017</v>
      </c>
      <c r="E22" s="88" t="n">
        <f aca="false">Precios!C32</f>
        <v>250</v>
      </c>
      <c r="F22" s="89" t="n">
        <f aca="false">E22*D22</f>
        <v>504250</v>
      </c>
      <c r="G22" s="90" t="n">
        <v>0</v>
      </c>
      <c r="H22" s="90" t="n">
        <v>50</v>
      </c>
      <c r="I22" s="90" t="n">
        <v>25</v>
      </c>
      <c r="J22" s="89" t="n">
        <f aca="false">(F22-G22)/H22</f>
        <v>10085</v>
      </c>
      <c r="K22" s="89" t="n">
        <f aca="false">J22*I22+G22</f>
        <v>252125</v>
      </c>
      <c r="L22" s="89" t="n">
        <f aca="false">K22-(J22/2)</f>
        <v>247082.5</v>
      </c>
      <c r="M22" s="74" t="n">
        <v>0.06</v>
      </c>
      <c r="N22" s="86" t="n">
        <f aca="false">K22*M22</f>
        <v>15127.5</v>
      </c>
      <c r="O22" s="66"/>
      <c r="Q22" s="66"/>
      <c r="R22" s="67"/>
    </row>
    <row r="23" customFormat="false" ht="13.8" hidden="false" customHeight="false" outlineLevel="0" collapsed="false">
      <c r="B23" s="87" t="s">
        <v>116</v>
      </c>
      <c r="C23" s="74" t="s">
        <v>115</v>
      </c>
      <c r="D23" s="74" t="n">
        <v>8284</v>
      </c>
      <c r="E23" s="88" t="n">
        <f aca="false">Precios!C33</f>
        <v>178</v>
      </c>
      <c r="F23" s="89" t="n">
        <f aca="false">E23*D23</f>
        <v>1474552</v>
      </c>
      <c r="G23" s="90" t="n">
        <v>0</v>
      </c>
      <c r="H23" s="90" t="n">
        <v>50</v>
      </c>
      <c r="I23" s="90" t="n">
        <v>25</v>
      </c>
      <c r="J23" s="89" t="n">
        <f aca="false">(F23-G23)/H23</f>
        <v>29491.04</v>
      </c>
      <c r="K23" s="89" t="n">
        <f aca="false">J23*I23+G23</f>
        <v>737276</v>
      </c>
      <c r="L23" s="89" t="n">
        <f aca="false">K23-(J23/2)</f>
        <v>722530.48</v>
      </c>
      <c r="M23" s="74" t="n">
        <v>0.06</v>
      </c>
      <c r="N23" s="86" t="n">
        <f aca="false">K23*M23</f>
        <v>44236.56</v>
      </c>
      <c r="O23" s="66"/>
      <c r="Q23" s="66"/>
      <c r="R23" s="67"/>
    </row>
    <row r="24" customFormat="false" ht="13.8" hidden="false" customHeight="false" outlineLevel="0" collapsed="false">
      <c r="B24" s="87" t="s">
        <v>117</v>
      </c>
      <c r="C24" s="74" t="s">
        <v>115</v>
      </c>
      <c r="D24" s="74" t="n">
        <v>600</v>
      </c>
      <c r="E24" s="88" t="n">
        <f aca="false">Precios!C32</f>
        <v>250</v>
      </c>
      <c r="F24" s="89" t="n">
        <f aca="false">E24*D24</f>
        <v>150000</v>
      </c>
      <c r="G24" s="90" t="n">
        <v>0</v>
      </c>
      <c r="H24" s="90" t="n">
        <v>50</v>
      </c>
      <c r="I24" s="90" t="n">
        <v>25</v>
      </c>
      <c r="J24" s="89" t="n">
        <f aca="false">(F24-G24)/H24</f>
        <v>3000</v>
      </c>
      <c r="K24" s="89" t="n">
        <f aca="false">J24*I24+G24</f>
        <v>75000</v>
      </c>
      <c r="L24" s="89" t="n">
        <f aca="false">K24-(J24/2)</f>
        <v>73500</v>
      </c>
      <c r="M24" s="74" t="n">
        <v>0.06</v>
      </c>
      <c r="N24" s="86" t="n">
        <f aca="false">K24*M24</f>
        <v>4500</v>
      </c>
      <c r="O24" s="66"/>
      <c r="Q24" s="66"/>
      <c r="R24" s="67"/>
    </row>
    <row r="25" customFormat="false" ht="13.8" hidden="false" customHeight="false" outlineLevel="0" collapsed="false">
      <c r="B25" s="85" t="s">
        <v>118</v>
      </c>
      <c r="C25" s="74" t="s">
        <v>110</v>
      </c>
      <c r="D25" s="74" t="n">
        <v>1</v>
      </c>
      <c r="E25" s="88" t="n">
        <f aca="false">Precios!C34</f>
        <v>85333</v>
      </c>
      <c r="F25" s="89" t="n">
        <f aca="false">E25*D25</f>
        <v>85333</v>
      </c>
      <c r="G25" s="90" t="n">
        <v>0</v>
      </c>
      <c r="H25" s="90" t="n">
        <v>30</v>
      </c>
      <c r="I25" s="90" t="n">
        <v>15</v>
      </c>
      <c r="J25" s="89" t="n">
        <f aca="false">(F25-G25)/H25</f>
        <v>2844.43333333333</v>
      </c>
      <c r="K25" s="89" t="n">
        <f aca="false">J25*I25+G25</f>
        <v>42666.5</v>
      </c>
      <c r="L25" s="89" t="n">
        <f aca="false">K25-(J25/2)</f>
        <v>41244.2833333333</v>
      </c>
      <c r="M25" s="74" t="n">
        <v>0.06</v>
      </c>
      <c r="N25" s="86" t="n">
        <f aca="false">K25*M25</f>
        <v>2559.99</v>
      </c>
      <c r="O25" s="66"/>
      <c r="Q25" s="66"/>
      <c r="R25" s="67"/>
    </row>
    <row r="26" customFormat="false" ht="13.8" hidden="false" customHeight="false" outlineLevel="0" collapsed="false">
      <c r="B26" s="85" t="s">
        <v>119</v>
      </c>
      <c r="C26" s="74" t="s">
        <v>110</v>
      </c>
      <c r="D26" s="74" t="n">
        <v>1</v>
      </c>
      <c r="E26" s="88" t="n">
        <f aca="false">Precios!C35</f>
        <v>142222</v>
      </c>
      <c r="F26" s="89" t="n">
        <f aca="false">E26*D26</f>
        <v>142222</v>
      </c>
      <c r="G26" s="90" t="n">
        <v>0</v>
      </c>
      <c r="H26" s="90" t="n">
        <v>30</v>
      </c>
      <c r="I26" s="90" t="n">
        <v>15</v>
      </c>
      <c r="J26" s="89" t="n">
        <f aca="false">(F26-G26)/H26</f>
        <v>4740.73333333333</v>
      </c>
      <c r="K26" s="89" t="n">
        <f aca="false">J26*I26+G26</f>
        <v>71111</v>
      </c>
      <c r="L26" s="89" t="n">
        <f aca="false">K26-(J26/2)</f>
        <v>68740.6333333333</v>
      </c>
      <c r="M26" s="74" t="n">
        <v>0.06</v>
      </c>
      <c r="N26" s="86" t="n">
        <f aca="false">K26*M26</f>
        <v>4266.66</v>
      </c>
      <c r="O26" s="66"/>
      <c r="Q26" s="66"/>
      <c r="R26" s="67"/>
    </row>
    <row r="27" customFormat="false" ht="13.8" hidden="false" customHeight="false" outlineLevel="0" collapsed="false">
      <c r="B27" s="85" t="s">
        <v>120</v>
      </c>
      <c r="C27" s="74" t="s">
        <v>103</v>
      </c>
      <c r="D27" s="74" t="n">
        <f aca="false">D6</f>
        <v>150</v>
      </c>
      <c r="E27" s="88" t="n">
        <f aca="false">Precios!C17+Precios!C16+(Precios!C22*4)</f>
        <v>5188.2</v>
      </c>
      <c r="F27" s="89" t="n">
        <f aca="false">E27*D27</f>
        <v>778230</v>
      </c>
      <c r="G27" s="90" t="n">
        <v>0</v>
      </c>
      <c r="H27" s="90" t="n">
        <v>10</v>
      </c>
      <c r="I27" s="90" t="n">
        <v>5</v>
      </c>
      <c r="J27" s="89" t="n">
        <f aca="false">(F27-G27)/H27</f>
        <v>77823</v>
      </c>
      <c r="K27" s="89" t="n">
        <f aca="false">J27*I27+G27</f>
        <v>389115</v>
      </c>
      <c r="L27" s="89" t="n">
        <f aca="false">K27-(J27/2)</f>
        <v>350203.5</v>
      </c>
      <c r="M27" s="74" t="n">
        <v>0.06</v>
      </c>
      <c r="N27" s="86" t="n">
        <f aca="false">K27*M27</f>
        <v>23346.9</v>
      </c>
      <c r="O27" s="66"/>
      <c r="Q27" s="66"/>
      <c r="R27" s="67"/>
    </row>
    <row r="28" customFormat="false" ht="13.8" hidden="false" customHeight="false" outlineLevel="0" collapsed="false">
      <c r="B28" s="77" t="s">
        <v>121</v>
      </c>
      <c r="C28" s="91"/>
      <c r="D28" s="91"/>
      <c r="E28" s="92"/>
      <c r="F28" s="93" t="n">
        <f aca="false">SUM(F22:F27)</f>
        <v>3134587</v>
      </c>
      <c r="G28" s="94"/>
      <c r="H28" s="94"/>
      <c r="I28" s="94"/>
      <c r="J28" s="95" t="n">
        <f aca="false">SUM(J22:J27)</f>
        <v>127984.206666667</v>
      </c>
      <c r="K28" s="94"/>
      <c r="L28" s="96" t="n">
        <f aca="false">SUM(L22:L27)</f>
        <v>1503301.39666667</v>
      </c>
      <c r="M28" s="78"/>
      <c r="N28" s="97" t="n">
        <f aca="false">SUM(N22:N27)</f>
        <v>94037.61</v>
      </c>
      <c r="O28" s="66"/>
      <c r="Q28" s="66"/>
      <c r="R28" s="67"/>
    </row>
    <row r="29" customFormat="false" ht="15" hidden="false" customHeight="false" outlineLevel="0" collapsed="false">
      <c r="O29" s="66"/>
      <c r="Q29" s="66"/>
      <c r="R29" s="67"/>
    </row>
    <row r="30" customFormat="false" ht="15.75" hidden="false" customHeight="false" outlineLevel="0" collapsed="false">
      <c r="B30" s="80"/>
      <c r="C30" s="80"/>
      <c r="D30" s="80"/>
      <c r="E30" s="80"/>
      <c r="F30" s="80"/>
      <c r="G30" s="80"/>
      <c r="H30" s="80"/>
      <c r="I30" s="80"/>
      <c r="J30" s="80"/>
      <c r="K30" s="80"/>
      <c r="L30" s="80"/>
      <c r="M30" s="80"/>
      <c r="N30" s="80"/>
      <c r="O30" s="66"/>
      <c r="Q30" s="66"/>
      <c r="R30" s="67"/>
    </row>
    <row r="31" customFormat="false" ht="15.75" hidden="false" customHeight="false" outlineLevel="0" collapsed="false">
      <c r="B31" s="98" t="s">
        <v>122</v>
      </c>
      <c r="C31" s="98"/>
      <c r="D31" s="64"/>
      <c r="E31" s="64"/>
      <c r="F31" s="64"/>
      <c r="G31" s="64"/>
      <c r="H31" s="64"/>
      <c r="I31" s="64"/>
      <c r="J31" s="64"/>
      <c r="K31" s="64"/>
      <c r="L31" s="64"/>
      <c r="M31" s="64"/>
      <c r="N31" s="65"/>
      <c r="O31" s="66"/>
      <c r="Q31" s="66"/>
      <c r="R31" s="67"/>
    </row>
    <row r="32" customFormat="false" ht="15" hidden="false" customHeight="false" outlineLevel="0" collapsed="false">
      <c r="B32" s="68"/>
      <c r="C32" s="69" t="s">
        <v>85</v>
      </c>
      <c r="D32" s="69" t="s">
        <v>86</v>
      </c>
      <c r="E32" s="69" t="s">
        <v>87</v>
      </c>
      <c r="F32" s="69" t="s">
        <v>88</v>
      </c>
      <c r="G32" s="69" t="s">
        <v>89</v>
      </c>
      <c r="H32" s="69" t="s">
        <v>90</v>
      </c>
      <c r="I32" s="69" t="s">
        <v>91</v>
      </c>
      <c r="J32" s="69" t="s">
        <v>92</v>
      </c>
      <c r="K32" s="69" t="s">
        <v>93</v>
      </c>
      <c r="L32" s="69" t="s">
        <v>94</v>
      </c>
      <c r="M32" s="70" t="s">
        <v>95</v>
      </c>
      <c r="N32" s="70"/>
      <c r="O32" s="66"/>
      <c r="Q32" s="66"/>
      <c r="R32" s="67"/>
    </row>
    <row r="33" customFormat="false" ht="15" hidden="false" customHeight="false" outlineLevel="0" collapsed="false">
      <c r="B33" s="68"/>
      <c r="C33" s="69"/>
      <c r="D33" s="69"/>
      <c r="E33" s="71" t="s">
        <v>96</v>
      </c>
      <c r="F33" s="71" t="s">
        <v>96</v>
      </c>
      <c r="G33" s="71" t="s">
        <v>96</v>
      </c>
      <c r="H33" s="71" t="s">
        <v>97</v>
      </c>
      <c r="I33" s="71" t="s">
        <v>97</v>
      </c>
      <c r="J33" s="71" t="s">
        <v>98</v>
      </c>
      <c r="K33" s="71" t="s">
        <v>99</v>
      </c>
      <c r="L33" s="71" t="s">
        <v>99</v>
      </c>
      <c r="M33" s="71" t="s">
        <v>100</v>
      </c>
      <c r="N33" s="72" t="s">
        <v>101</v>
      </c>
      <c r="O33" s="66"/>
      <c r="Q33" s="66"/>
      <c r="R33" s="67"/>
    </row>
    <row r="34" customFormat="false" ht="13.8" hidden="false" customHeight="false" outlineLevel="0" collapsed="false">
      <c r="B34" s="85" t="s">
        <v>123</v>
      </c>
      <c r="C34" s="74" t="s">
        <v>124</v>
      </c>
      <c r="D34" s="74" t="n">
        <f aca="false">'Composicion del Rodeo de Cria'!E16</f>
        <v>200</v>
      </c>
      <c r="E34" s="99" t="n">
        <f aca="false">Precios!C60</f>
        <v>32000</v>
      </c>
      <c r="F34" s="99" t="n">
        <f aca="false">D34*E34</f>
        <v>6400000</v>
      </c>
      <c r="G34" s="99" t="n">
        <f aca="false">D34*'Composicion del Rodeo de Cria'!F17*Precios!C55</f>
        <v>4680000</v>
      </c>
      <c r="H34" s="99" t="n">
        <v>10</v>
      </c>
      <c r="I34" s="99" t="n">
        <v>5</v>
      </c>
      <c r="J34" s="99" t="n">
        <v>0</v>
      </c>
      <c r="K34" s="99" t="n">
        <f aca="false">(J34*I34)+G34</f>
        <v>4680000</v>
      </c>
      <c r="L34" s="99" t="n">
        <f aca="false">K34-(J34/2)</f>
        <v>4680000</v>
      </c>
      <c r="M34" s="100" t="n">
        <v>0.08</v>
      </c>
      <c r="N34" s="101" t="n">
        <f aca="false">K34*M34</f>
        <v>374400</v>
      </c>
      <c r="O34" s="66"/>
      <c r="Q34" s="66"/>
      <c r="R34" s="67"/>
    </row>
    <row r="35" customFormat="false" ht="13.8" hidden="false" customHeight="false" outlineLevel="0" collapsed="false">
      <c r="B35" s="85" t="s">
        <v>125</v>
      </c>
      <c r="C35" s="74" t="s">
        <v>124</v>
      </c>
      <c r="D35" s="74" t="n">
        <f aca="false">'Composicion del Rodeo de Cria'!E22</f>
        <v>8</v>
      </c>
      <c r="E35" s="99" t="n">
        <f aca="false">Precios!C57</f>
        <v>70000</v>
      </c>
      <c r="F35" s="99" t="n">
        <f aca="false">D35*E35</f>
        <v>560000</v>
      </c>
      <c r="G35" s="99" t="n">
        <f aca="false">D35*'Composicion del Rodeo de Cria'!F23*Precios!C56</f>
        <v>297000</v>
      </c>
      <c r="H35" s="99" t="n">
        <v>5</v>
      </c>
      <c r="I35" s="99" t="n">
        <v>3</v>
      </c>
      <c r="J35" s="99" t="n">
        <f aca="false">(F35-G35)/H35</f>
        <v>52600</v>
      </c>
      <c r="K35" s="99" t="n">
        <f aca="false">(J35*I35)+G35</f>
        <v>454800</v>
      </c>
      <c r="L35" s="99" t="n">
        <f aca="false">K35-(J35/2)</f>
        <v>428500</v>
      </c>
      <c r="M35" s="100" t="n">
        <v>0.08</v>
      </c>
      <c r="N35" s="101" t="n">
        <f aca="false">K35*M35</f>
        <v>36384</v>
      </c>
      <c r="O35" s="66"/>
      <c r="Q35" s="66"/>
      <c r="R35" s="67"/>
    </row>
    <row r="36" customFormat="false" ht="13.8" hidden="false" customHeight="false" outlineLevel="0" collapsed="false">
      <c r="B36" s="85" t="s">
        <v>126</v>
      </c>
      <c r="C36" s="74" t="s">
        <v>124</v>
      </c>
      <c r="D36" s="102" t="n">
        <f aca="false">'Composicion del Rodeo de Cria'!E20</f>
        <v>30</v>
      </c>
      <c r="E36" s="99" t="n">
        <f aca="false">Precios!C58</f>
        <v>39000</v>
      </c>
      <c r="F36" s="99" t="n">
        <f aca="false">D36*E36</f>
        <v>1170000</v>
      </c>
      <c r="G36" s="99" t="n">
        <f aca="false">F36</f>
        <v>1170000</v>
      </c>
      <c r="H36" s="99" t="n">
        <v>8</v>
      </c>
      <c r="I36" s="99" t="n">
        <v>0</v>
      </c>
      <c r="J36" s="99" t="n">
        <v>0</v>
      </c>
      <c r="K36" s="99" t="n">
        <f aca="false">(J36*I36)+G36</f>
        <v>1170000</v>
      </c>
      <c r="L36" s="99" t="n">
        <f aca="false">K36-(J36/2)</f>
        <v>1170000</v>
      </c>
      <c r="M36" s="100" t="n">
        <v>0.08</v>
      </c>
      <c r="N36" s="101" t="n">
        <f aca="false">K36*M36</f>
        <v>93600</v>
      </c>
      <c r="O36" s="66"/>
      <c r="Q36" s="66"/>
      <c r="R36" s="67"/>
    </row>
    <row r="37" customFormat="false" ht="13.8" hidden="false" customHeight="false" outlineLevel="0" collapsed="false">
      <c r="B37" s="85" t="s">
        <v>127</v>
      </c>
      <c r="C37" s="74" t="s">
        <v>124</v>
      </c>
      <c r="D37" s="102" t="n">
        <f aca="false">'Composicion del Rodeo de Cria'!E21</f>
        <v>30</v>
      </c>
      <c r="E37" s="99" t="n">
        <f aca="false">Precios!C59</f>
        <v>42000</v>
      </c>
      <c r="F37" s="99" t="n">
        <f aca="false">D37*E37</f>
        <v>1260000</v>
      </c>
      <c r="G37" s="99" t="n">
        <f aca="false">F37</f>
        <v>1260000</v>
      </c>
      <c r="H37" s="99" t="n">
        <v>7</v>
      </c>
      <c r="I37" s="99" t="n">
        <v>0</v>
      </c>
      <c r="J37" s="99" t="n">
        <v>0</v>
      </c>
      <c r="K37" s="99" t="n">
        <f aca="false">(J37*I37)+G37</f>
        <v>1260000</v>
      </c>
      <c r="L37" s="99" t="n">
        <f aca="false">K37-(J37/2)</f>
        <v>1260000</v>
      </c>
      <c r="M37" s="100" t="n">
        <v>0.08</v>
      </c>
      <c r="N37" s="101" t="n">
        <f aca="false">K37*M37</f>
        <v>100800</v>
      </c>
      <c r="O37" s="66"/>
      <c r="Q37" s="66"/>
      <c r="R37" s="67"/>
    </row>
    <row r="38" customFormat="false" ht="13.8" hidden="false" customHeight="false" outlineLevel="0" collapsed="false">
      <c r="B38" s="77" t="s">
        <v>128</v>
      </c>
      <c r="C38" s="91"/>
      <c r="D38" s="91" t="n">
        <f aca="false">SUM(D34:D37)</f>
        <v>268</v>
      </c>
      <c r="E38" s="103"/>
      <c r="F38" s="103"/>
      <c r="G38" s="104"/>
      <c r="H38" s="104"/>
      <c r="I38" s="104"/>
      <c r="J38" s="104" t="n">
        <f aca="false">SUM(J34:J37)</f>
        <v>52600</v>
      </c>
      <c r="K38" s="104"/>
      <c r="L38" s="104" t="n">
        <f aca="false">SUM(L34:L37)</f>
        <v>7538500</v>
      </c>
      <c r="M38" s="105"/>
      <c r="N38" s="106" t="n">
        <f aca="false">SUM(N34:N37)</f>
        <v>605184</v>
      </c>
      <c r="O38" s="66"/>
      <c r="Q38" s="66"/>
      <c r="R38" s="67"/>
    </row>
    <row r="39" customFormat="false" ht="15.75" hidden="false" customHeight="false" outlineLevel="0" collapsed="false">
      <c r="B39" s="80"/>
      <c r="C39" s="80"/>
      <c r="D39" s="80"/>
      <c r="E39" s="80"/>
      <c r="F39" s="80"/>
      <c r="G39" s="80"/>
      <c r="H39" s="80"/>
      <c r="I39" s="80"/>
      <c r="J39" s="80"/>
      <c r="K39" s="80"/>
      <c r="L39" s="80"/>
      <c r="M39" s="80"/>
      <c r="N39" s="80"/>
      <c r="O39" s="66"/>
      <c r="Q39" s="66"/>
      <c r="R39" s="67"/>
    </row>
    <row r="40" customFormat="false" ht="15" hidden="false" customHeight="false" outlineLevel="0" collapsed="false">
      <c r="B40" s="107" t="s">
        <v>57</v>
      </c>
      <c r="C40" s="107"/>
      <c r="D40" s="107"/>
      <c r="E40" s="108"/>
      <c r="F40" s="108"/>
      <c r="G40" s="108"/>
      <c r="H40" s="108"/>
      <c r="I40" s="108"/>
      <c r="J40" s="108"/>
      <c r="K40" s="108"/>
      <c r="L40" s="108"/>
      <c r="M40" s="108"/>
      <c r="N40" s="109"/>
      <c r="O40" s="66"/>
      <c r="Q40" s="66"/>
      <c r="R40" s="67"/>
    </row>
    <row r="41" customFormat="false" ht="15" hidden="false" customHeight="false" outlineLevel="0" collapsed="false">
      <c r="B41" s="68"/>
      <c r="C41" s="71" t="s">
        <v>85</v>
      </c>
      <c r="D41" s="71" t="s">
        <v>86</v>
      </c>
      <c r="E41" s="71" t="s">
        <v>87</v>
      </c>
      <c r="F41" s="71" t="s">
        <v>88</v>
      </c>
      <c r="G41" s="71" t="s">
        <v>89</v>
      </c>
      <c r="H41" s="71" t="s">
        <v>90</v>
      </c>
      <c r="I41" s="71" t="s">
        <v>91</v>
      </c>
      <c r="J41" s="71" t="s">
        <v>92</v>
      </c>
      <c r="K41" s="71" t="s">
        <v>93</v>
      </c>
      <c r="L41" s="71" t="s">
        <v>94</v>
      </c>
      <c r="M41" s="72" t="s">
        <v>95</v>
      </c>
      <c r="N41" s="72"/>
      <c r="O41" s="66"/>
      <c r="Q41" s="66"/>
      <c r="R41" s="67"/>
    </row>
    <row r="42" customFormat="false" ht="15" hidden="false" customHeight="false" outlineLevel="0" collapsed="false">
      <c r="B42" s="68"/>
      <c r="C42" s="71"/>
      <c r="D42" s="71"/>
      <c r="E42" s="71" t="s">
        <v>96</v>
      </c>
      <c r="F42" s="71" t="s">
        <v>96</v>
      </c>
      <c r="G42" s="71" t="s">
        <v>96</v>
      </c>
      <c r="H42" s="71" t="s">
        <v>97</v>
      </c>
      <c r="I42" s="71" t="s">
        <v>97</v>
      </c>
      <c r="J42" s="71" t="s">
        <v>98</v>
      </c>
      <c r="K42" s="71" t="s">
        <v>99</v>
      </c>
      <c r="L42" s="71" t="s">
        <v>99</v>
      </c>
      <c r="M42" s="71" t="s">
        <v>100</v>
      </c>
      <c r="N42" s="72" t="s">
        <v>101</v>
      </c>
      <c r="O42" s="66"/>
      <c r="Q42" s="66"/>
      <c r="R42" s="67"/>
    </row>
    <row r="43" customFormat="false" ht="13.8" hidden="false" customHeight="false" outlineLevel="0" collapsed="false">
      <c r="B43" s="87" t="s">
        <v>129</v>
      </c>
      <c r="C43" s="74" t="s">
        <v>110</v>
      </c>
      <c r="D43" s="74" t="n">
        <v>1</v>
      </c>
      <c r="E43" s="110" t="n">
        <f aca="false">Precios!C38</f>
        <v>1616000</v>
      </c>
      <c r="F43" s="99" t="n">
        <f aca="false">D43*E43</f>
        <v>1616000</v>
      </c>
      <c r="G43" s="99" t="n">
        <f aca="false">F43*0.3</f>
        <v>484800</v>
      </c>
      <c r="H43" s="99" t="n">
        <v>10</v>
      </c>
      <c r="I43" s="99" t="n">
        <v>5</v>
      </c>
      <c r="J43" s="99" t="n">
        <f aca="false">(F43-G43)/H43</f>
        <v>113120</v>
      </c>
      <c r="K43" s="99" t="n">
        <f aca="false">(J43*I43)+G43</f>
        <v>1050400</v>
      </c>
      <c r="L43" s="99" t="n">
        <f aca="false">K43-(J43/2)</f>
        <v>993840</v>
      </c>
      <c r="M43" s="100" t="n">
        <v>0.08</v>
      </c>
      <c r="N43" s="101" t="n">
        <f aca="false">K43*M43</f>
        <v>84032</v>
      </c>
      <c r="O43" s="66"/>
      <c r="Q43" s="66"/>
      <c r="R43" s="67"/>
    </row>
    <row r="44" customFormat="false" ht="13.8" hidden="false" customHeight="false" outlineLevel="0" collapsed="false">
      <c r="B44" s="87" t="s">
        <v>59</v>
      </c>
      <c r="C44" s="74" t="s">
        <v>110</v>
      </c>
      <c r="D44" s="74" t="n">
        <v>1</v>
      </c>
      <c r="E44" s="110" t="n">
        <f aca="false">Precios!C39</f>
        <v>215600</v>
      </c>
      <c r="F44" s="99" t="n">
        <f aca="false">D44*E44</f>
        <v>215600</v>
      </c>
      <c r="G44" s="99" t="n">
        <f aca="false">F44*0.3</f>
        <v>64680</v>
      </c>
      <c r="H44" s="99" t="n">
        <v>10</v>
      </c>
      <c r="I44" s="99" t="n">
        <v>5</v>
      </c>
      <c r="J44" s="99" t="n">
        <f aca="false">(F44-G44)/H44</f>
        <v>15092</v>
      </c>
      <c r="K44" s="99" t="n">
        <f aca="false">(J44*I44)+G44</f>
        <v>140140</v>
      </c>
      <c r="L44" s="99" t="n">
        <f aca="false">K44-(J44/2)</f>
        <v>132594</v>
      </c>
      <c r="M44" s="100" t="n">
        <v>0.08</v>
      </c>
      <c r="N44" s="101" t="n">
        <f aca="false">K44*M44</f>
        <v>11211.2</v>
      </c>
      <c r="O44" s="66"/>
      <c r="Q44" s="66"/>
      <c r="R44" s="67"/>
    </row>
    <row r="45" customFormat="false" ht="13.8" hidden="false" customHeight="false" outlineLevel="0" collapsed="false">
      <c r="B45" s="87" t="s">
        <v>60</v>
      </c>
      <c r="C45" s="74" t="s">
        <v>110</v>
      </c>
      <c r="D45" s="74" t="n">
        <v>1</v>
      </c>
      <c r="E45" s="110" t="n">
        <f aca="false">Precios!C40</f>
        <v>14000</v>
      </c>
      <c r="F45" s="99" t="n">
        <f aca="false">D45*E45</f>
        <v>14000</v>
      </c>
      <c r="G45" s="99" t="n">
        <f aca="false">F45*0.1</f>
        <v>1400</v>
      </c>
      <c r="H45" s="99" t="n">
        <v>5</v>
      </c>
      <c r="I45" s="99" t="n">
        <v>3</v>
      </c>
      <c r="J45" s="99" t="n">
        <f aca="false">(F45-G45)/H45</f>
        <v>2520</v>
      </c>
      <c r="K45" s="99" t="n">
        <f aca="false">(J45*I45)+G45</f>
        <v>8960</v>
      </c>
      <c r="L45" s="99" t="n">
        <f aca="false">K45-(J45/2)</f>
        <v>7700</v>
      </c>
      <c r="M45" s="100" t="n">
        <v>0.08</v>
      </c>
      <c r="N45" s="101" t="n">
        <f aca="false">K45*M45</f>
        <v>716.8</v>
      </c>
      <c r="O45" s="66"/>
      <c r="Q45" s="66"/>
      <c r="R45" s="67"/>
    </row>
    <row r="46" customFormat="false" ht="13.8" hidden="false" customHeight="false" outlineLevel="0" collapsed="false">
      <c r="B46" s="87" t="s">
        <v>61</v>
      </c>
      <c r="C46" s="74" t="s">
        <v>110</v>
      </c>
      <c r="D46" s="74" t="n">
        <v>3</v>
      </c>
      <c r="E46" s="110" t="n">
        <f aca="false">Precios!C41</f>
        <v>3234</v>
      </c>
      <c r="F46" s="99" t="n">
        <f aca="false">D46*E46</f>
        <v>9702</v>
      </c>
      <c r="G46" s="99" t="n">
        <v>0</v>
      </c>
      <c r="H46" s="99" t="n">
        <v>5</v>
      </c>
      <c r="I46" s="99" t="n">
        <v>3</v>
      </c>
      <c r="J46" s="99" t="n">
        <f aca="false">(F46-G46)/H46</f>
        <v>1940.4</v>
      </c>
      <c r="K46" s="99" t="n">
        <f aca="false">(J46*I46)+G46</f>
        <v>5821.2</v>
      </c>
      <c r="L46" s="99" t="n">
        <f aca="false">K46-(J46/2)</f>
        <v>4851</v>
      </c>
      <c r="M46" s="100" t="n">
        <v>0.08</v>
      </c>
      <c r="N46" s="101" t="n">
        <f aca="false">K46*M46</f>
        <v>465.696</v>
      </c>
      <c r="O46" s="66"/>
      <c r="Q46" s="66"/>
      <c r="R46" s="67"/>
    </row>
    <row r="47" customFormat="false" ht="13.8" hidden="false" customHeight="false" outlineLevel="0" collapsed="false">
      <c r="B47" s="111" t="s">
        <v>51</v>
      </c>
      <c r="C47" s="74" t="s">
        <v>110</v>
      </c>
      <c r="D47" s="112" t="n">
        <v>1</v>
      </c>
      <c r="E47" s="113" t="n">
        <f aca="false">Precios!C30</f>
        <v>3234559</v>
      </c>
      <c r="F47" s="114" t="n">
        <f aca="false">D47*E47</f>
        <v>3234559</v>
      </c>
      <c r="G47" s="114" t="n">
        <f aca="false">F47*0.1</f>
        <v>323455.9</v>
      </c>
      <c r="H47" s="114" t="n">
        <v>10</v>
      </c>
      <c r="I47" s="114" t="n">
        <f aca="false">H47/2</f>
        <v>5</v>
      </c>
      <c r="J47" s="99" t="n">
        <f aca="false">(F47-G47)/H47</f>
        <v>291110.31</v>
      </c>
      <c r="K47" s="99" t="n">
        <f aca="false">(J47*I47)+G47</f>
        <v>1779007.45</v>
      </c>
      <c r="L47" s="99" t="n">
        <f aca="false">K47-(J47/2)</f>
        <v>1633452.295</v>
      </c>
      <c r="M47" s="100" t="n">
        <v>0.08</v>
      </c>
      <c r="N47" s="101" t="n">
        <f aca="false">K47*M47</f>
        <v>142320.596</v>
      </c>
      <c r="O47" s="66"/>
      <c r="Q47" s="66"/>
      <c r="R47" s="67"/>
    </row>
    <row r="48" customFormat="false" ht="13.8" hidden="false" customHeight="false" outlineLevel="0" collapsed="false">
      <c r="B48" s="111" t="s">
        <v>52</v>
      </c>
      <c r="C48" s="74" t="s">
        <v>110</v>
      </c>
      <c r="D48" s="112" t="n">
        <v>1</v>
      </c>
      <c r="E48" s="113" t="n">
        <f aca="false">Precios!C31</f>
        <v>1208888</v>
      </c>
      <c r="F48" s="114" t="n">
        <f aca="false">D48*E48</f>
        <v>1208888</v>
      </c>
      <c r="G48" s="114" t="n">
        <f aca="false">F48*0.1</f>
        <v>120888.8</v>
      </c>
      <c r="H48" s="114" t="n">
        <v>10</v>
      </c>
      <c r="I48" s="114" t="n">
        <f aca="false">H48/2</f>
        <v>5</v>
      </c>
      <c r="J48" s="99" t="n">
        <f aca="false">(F48-G48)/H48</f>
        <v>108799.92</v>
      </c>
      <c r="K48" s="99" t="n">
        <f aca="false">(J48*I48)+G48</f>
        <v>664888.4</v>
      </c>
      <c r="L48" s="99" t="n">
        <f aca="false">K48-(J48/2)</f>
        <v>610488.44</v>
      </c>
      <c r="M48" s="100" t="n">
        <v>0.08</v>
      </c>
      <c r="N48" s="101" t="n">
        <f aca="false">K48*M48</f>
        <v>53191.072</v>
      </c>
      <c r="O48" s="66"/>
      <c r="Q48" s="66"/>
      <c r="R48" s="67"/>
    </row>
    <row r="49" customFormat="false" ht="13.8" hidden="false" customHeight="false" outlineLevel="0" collapsed="false">
      <c r="B49" s="77" t="s">
        <v>130</v>
      </c>
      <c r="C49" s="91"/>
      <c r="D49" s="91"/>
      <c r="E49" s="92"/>
      <c r="F49" s="115"/>
      <c r="G49" s="115"/>
      <c r="H49" s="115"/>
      <c r="I49" s="115"/>
      <c r="J49" s="104" t="n">
        <f aca="false">SUM(J43:J48)</f>
        <v>532582.63</v>
      </c>
      <c r="K49" s="115"/>
      <c r="L49" s="115" t="n">
        <f aca="false">SUM(L43:L48)</f>
        <v>3382925.735</v>
      </c>
      <c r="M49" s="105"/>
      <c r="N49" s="106" t="n">
        <f aca="false">SUM(N43:N48)</f>
        <v>291937.364</v>
      </c>
      <c r="O49" s="66"/>
      <c r="Q49" s="66"/>
      <c r="R49" s="67"/>
    </row>
    <row r="50" customFormat="false" ht="15" hidden="false" customHeight="false" outlineLevel="0" collapsed="false">
      <c r="B50" s="80"/>
      <c r="C50" s="80"/>
      <c r="D50" s="80"/>
      <c r="E50" s="80"/>
      <c r="F50" s="80"/>
      <c r="G50" s="80"/>
      <c r="H50" s="80"/>
      <c r="I50" s="80"/>
      <c r="J50" s="80"/>
      <c r="K50" s="80"/>
      <c r="L50" s="80"/>
      <c r="M50" s="80"/>
      <c r="N50" s="80"/>
      <c r="O50" s="66"/>
      <c r="Q50" s="66"/>
      <c r="R50" s="67"/>
    </row>
    <row r="51" customFormat="false" ht="15" hidden="false" customHeight="false" outlineLevel="0" collapsed="false">
      <c r="B51" s="80"/>
      <c r="C51" s="80"/>
      <c r="D51" s="80"/>
      <c r="E51" s="80"/>
      <c r="F51" s="80"/>
      <c r="G51" s="80"/>
      <c r="H51" s="80"/>
      <c r="I51" s="80"/>
      <c r="J51" s="80"/>
      <c r="K51" s="80"/>
      <c r="L51" s="80"/>
      <c r="M51" s="80"/>
      <c r="N51" s="80"/>
      <c r="O51" s="66"/>
      <c r="Q51" s="66"/>
      <c r="R51" s="67"/>
    </row>
    <row r="52" customFormat="false" ht="15.75" hidden="false" customHeight="false" outlineLevel="0" collapsed="false">
      <c r="B52" s="80"/>
      <c r="C52" s="80"/>
      <c r="D52" s="80"/>
      <c r="E52" s="80"/>
      <c r="F52" s="80"/>
      <c r="G52" s="80"/>
      <c r="H52" s="80"/>
      <c r="I52" s="80"/>
      <c r="J52" s="80"/>
      <c r="K52" s="80"/>
      <c r="L52" s="80"/>
      <c r="M52" s="80"/>
      <c r="N52" s="80"/>
      <c r="O52" s="66"/>
      <c r="Q52" s="66"/>
      <c r="R52" s="67"/>
    </row>
    <row r="53" s="116" customFormat="true" ht="15" hidden="false" customHeight="false" outlineLevel="0" collapsed="false">
      <c r="B53" s="117" t="s">
        <v>131</v>
      </c>
      <c r="C53" s="118"/>
      <c r="D53" s="119"/>
      <c r="E53" s="120"/>
      <c r="F53" s="120"/>
      <c r="G53" s="120"/>
      <c r="H53" s="120"/>
      <c r="I53" s="120"/>
      <c r="J53" s="120"/>
      <c r="K53" s="120"/>
      <c r="L53" s="120"/>
      <c r="M53" s="120"/>
      <c r="N53" s="121"/>
      <c r="O53" s="66"/>
      <c r="Q53" s="66"/>
      <c r="R53" s="122"/>
    </row>
    <row r="54" customFormat="false" ht="15" hidden="false" customHeight="false" outlineLevel="0" collapsed="false">
      <c r="B54" s="123"/>
      <c r="C54" s="75" t="s">
        <v>132</v>
      </c>
      <c r="D54" s="68"/>
      <c r="E54" s="80"/>
      <c r="F54" s="80"/>
      <c r="G54" s="80"/>
      <c r="H54" s="80"/>
      <c r="I54" s="80"/>
      <c r="J54" s="80"/>
      <c r="K54" s="80"/>
      <c r="L54" s="80"/>
      <c r="M54" s="80"/>
      <c r="N54" s="124"/>
      <c r="O54" s="66"/>
      <c r="Q54" s="66"/>
      <c r="R54" s="67"/>
    </row>
    <row r="55" customFormat="false" ht="13.8" hidden="false" customHeight="false" outlineLevel="0" collapsed="false">
      <c r="B55" s="85" t="s">
        <v>133</v>
      </c>
      <c r="C55" s="125" t="n">
        <f aca="false">J28+J38+J49</f>
        <v>713166.836666667</v>
      </c>
      <c r="D55" s="126" t="s">
        <v>134</v>
      </c>
      <c r="E55" s="127"/>
      <c r="F55" s="127"/>
      <c r="G55" s="127"/>
      <c r="H55" s="127"/>
      <c r="I55" s="127"/>
      <c r="J55" s="127"/>
      <c r="K55" s="127"/>
      <c r="L55" s="80"/>
      <c r="M55" s="80"/>
      <c r="N55" s="124"/>
      <c r="O55" s="66"/>
      <c r="Q55" s="66"/>
      <c r="R55" s="67"/>
    </row>
    <row r="56" customFormat="false" ht="13.8" hidden="false" customHeight="false" outlineLevel="0" collapsed="false">
      <c r="B56" s="85" t="s">
        <v>135</v>
      </c>
      <c r="C56" s="125" t="n">
        <f aca="false">N10+N16</f>
        <v>549065</v>
      </c>
      <c r="D56" s="126" t="s">
        <v>136</v>
      </c>
      <c r="E56" s="127"/>
      <c r="F56" s="127"/>
      <c r="G56" s="127"/>
      <c r="H56" s="127"/>
      <c r="I56" s="127"/>
      <c r="J56" s="127"/>
      <c r="K56" s="127"/>
      <c r="L56" s="127"/>
      <c r="M56" s="80"/>
      <c r="N56" s="124"/>
      <c r="O56" s="66"/>
      <c r="Q56" s="66"/>
      <c r="R56" s="67"/>
    </row>
    <row r="57" customFormat="false" ht="13.8" hidden="false" customHeight="false" outlineLevel="0" collapsed="false">
      <c r="B57" s="85" t="s">
        <v>137</v>
      </c>
      <c r="C57" s="125" t="n">
        <f aca="false">N28</f>
        <v>94037.61</v>
      </c>
      <c r="D57" s="126" t="s">
        <v>138</v>
      </c>
      <c r="E57" s="127"/>
      <c r="F57" s="127"/>
      <c r="G57" s="127"/>
      <c r="H57" s="127"/>
      <c r="I57" s="127"/>
      <c r="J57" s="127"/>
      <c r="K57" s="127"/>
      <c r="L57" s="80"/>
      <c r="M57" s="80"/>
      <c r="N57" s="124"/>
      <c r="O57" s="66"/>
      <c r="Q57" s="66"/>
      <c r="R57" s="67"/>
    </row>
    <row r="58" customFormat="false" ht="13.8" hidden="false" customHeight="false" outlineLevel="0" collapsed="false">
      <c r="B58" s="85" t="s">
        <v>139</v>
      </c>
      <c r="C58" s="125" t="n">
        <f aca="false">N38</f>
        <v>605184</v>
      </c>
      <c r="D58" s="126" t="s">
        <v>140</v>
      </c>
      <c r="E58" s="127"/>
      <c r="F58" s="127"/>
      <c r="G58" s="127"/>
      <c r="H58" s="127"/>
      <c r="I58" s="127"/>
      <c r="J58" s="127"/>
      <c r="K58" s="127"/>
      <c r="L58" s="80"/>
      <c r="M58" s="80"/>
      <c r="N58" s="124"/>
      <c r="O58" s="66"/>
      <c r="Q58" s="66"/>
      <c r="R58" s="67"/>
    </row>
    <row r="59" customFormat="false" ht="13.8" hidden="false" customHeight="false" outlineLevel="0" collapsed="false">
      <c r="B59" s="128" t="s">
        <v>141</v>
      </c>
      <c r="C59" s="129"/>
      <c r="D59" s="130" t="s">
        <v>142</v>
      </c>
      <c r="E59" s="131"/>
      <c r="F59" s="131"/>
      <c r="G59" s="131"/>
      <c r="H59" s="131"/>
      <c r="I59" s="131"/>
      <c r="J59" s="131"/>
      <c r="K59" s="131"/>
      <c r="L59" s="131"/>
      <c r="M59" s="131"/>
      <c r="N59" s="132"/>
      <c r="O59" s="66"/>
      <c r="Q59" s="66"/>
      <c r="R59" s="67"/>
    </row>
  </sheetData>
  <mergeCells count="16">
    <mergeCell ref="C4:C5"/>
    <mergeCell ref="D4:D5"/>
    <mergeCell ref="M4:N4"/>
    <mergeCell ref="B13:D13"/>
    <mergeCell ref="C14:C15"/>
    <mergeCell ref="D14:D15"/>
    <mergeCell ref="M14:N14"/>
    <mergeCell ref="M19:N19"/>
    <mergeCell ref="B31:C31"/>
    <mergeCell ref="C32:C33"/>
    <mergeCell ref="D32:D33"/>
    <mergeCell ref="M32:N32"/>
    <mergeCell ref="B40:D40"/>
    <mergeCell ref="C41:C42"/>
    <mergeCell ref="D41:D42"/>
    <mergeCell ref="M41:N41"/>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2:S22"/>
  <sheetViews>
    <sheetView showFormulas="false" showGridLines="true" showRowColHeaders="true" showZeros="true" rightToLeft="false" tabSelected="false" showOutlineSymbols="true" defaultGridColor="true" view="normal" topLeftCell="A5" colorId="64" zoomScale="100" zoomScaleNormal="100" zoomScalePageLayoutView="100" workbookViewId="0">
      <selection pane="topLeft" activeCell="R22" activeCellId="0" sqref="R22"/>
    </sheetView>
  </sheetViews>
  <sheetFormatPr defaultRowHeight="15" zeroHeight="false" outlineLevelRow="0" outlineLevelCol="0"/>
  <cols>
    <col collapsed="false" customWidth="true" hidden="false" outlineLevel="0" max="1" min="1" style="1" width="6.42"/>
    <col collapsed="false" customWidth="true" hidden="false" outlineLevel="0" max="2" min="2" style="1" width="17.29"/>
    <col collapsed="false" customWidth="true" hidden="false" outlineLevel="0" max="3" min="3" style="1" width="6.71"/>
    <col collapsed="false" customWidth="true" hidden="false" outlineLevel="0" max="4" min="4" style="1" width="9.29"/>
    <col collapsed="false" customWidth="true" hidden="false" outlineLevel="0" max="5" min="5" style="1" width="9.59"/>
    <col collapsed="false" customWidth="true" hidden="false" outlineLevel="0" max="6" min="6" style="1" width="8"/>
    <col collapsed="false" customWidth="true" hidden="false" outlineLevel="0" max="7" min="7" style="1" width="9.29"/>
    <col collapsed="false" customWidth="true" hidden="false" outlineLevel="0" max="8" min="8" style="1" width="8.71"/>
    <col collapsed="false" customWidth="true" hidden="false" outlineLevel="0" max="9" min="9" style="1" width="7.41"/>
    <col collapsed="false" customWidth="true" hidden="true" outlineLevel="0" max="10" min="10" style="1" width="8.14"/>
    <col collapsed="false" customWidth="true" hidden="true" outlineLevel="0" max="11" min="11" style="1" width="5.01"/>
    <col collapsed="false" customWidth="true" hidden="false" outlineLevel="0" max="12" min="12" style="1" width="11.25"/>
    <col collapsed="false" customWidth="true" hidden="false" outlineLevel="0" max="13" min="13" style="1" width="7"/>
    <col collapsed="false" customWidth="true" hidden="false" outlineLevel="0" max="14" min="14" style="1" width="7.87"/>
    <col collapsed="false" customWidth="true" hidden="false" outlineLevel="0" max="15" min="15" style="1" width="8.29"/>
    <col collapsed="false" customWidth="true" hidden="false" outlineLevel="0" max="16" min="16" style="1" width="9"/>
    <col collapsed="false" customWidth="true" hidden="false" outlineLevel="0" max="17" min="17" style="1" width="6.88"/>
    <col collapsed="false" customWidth="true" hidden="false" outlineLevel="0" max="18" min="18" style="1" width="10.29"/>
    <col collapsed="false" customWidth="false" hidden="false" outlineLevel="0" max="1025" min="19" style="1" width="11.42"/>
  </cols>
  <sheetData>
    <row r="2" customFormat="false" ht="15.75" hidden="false" customHeight="false" outlineLevel="0" collapsed="false"/>
    <row r="3" s="133" customFormat="true" ht="15.75" hidden="false" customHeight="false" outlineLevel="0" collapsed="false">
      <c r="B3" s="98" t="s">
        <v>143</v>
      </c>
      <c r="C3" s="98"/>
      <c r="D3" s="98"/>
      <c r="E3" s="98"/>
      <c r="F3" s="134"/>
      <c r="G3" s="134"/>
      <c r="H3" s="134"/>
      <c r="I3" s="134"/>
      <c r="J3" s="134"/>
      <c r="K3" s="134"/>
      <c r="L3" s="135"/>
      <c r="M3" s="136"/>
      <c r="N3" s="136"/>
      <c r="O3" s="137"/>
      <c r="P3" s="137"/>
      <c r="Q3" s="137"/>
      <c r="R3" s="138"/>
    </row>
    <row r="4" customFormat="false" ht="41.25" hidden="false" customHeight="true" outlineLevel="0" collapsed="false">
      <c r="B4" s="139"/>
      <c r="C4" s="140" t="s">
        <v>144</v>
      </c>
      <c r="D4" s="141" t="s">
        <v>145</v>
      </c>
      <c r="E4" s="141"/>
      <c r="F4" s="142" t="s">
        <v>146</v>
      </c>
      <c r="G4" s="142"/>
      <c r="H4" s="143" t="s">
        <v>147</v>
      </c>
      <c r="I4" s="143"/>
      <c r="J4" s="140" t="s">
        <v>148</v>
      </c>
      <c r="K4" s="140"/>
      <c r="L4" s="144" t="s">
        <v>149</v>
      </c>
      <c r="M4" s="80"/>
      <c r="N4" s="80"/>
      <c r="O4" s="66"/>
      <c r="P4" s="66"/>
      <c r="Q4" s="66"/>
      <c r="R4" s="67"/>
    </row>
    <row r="5" customFormat="false" ht="13.8" hidden="false" customHeight="false" outlineLevel="0" collapsed="false">
      <c r="B5" s="87"/>
      <c r="C5" s="140"/>
      <c r="D5" s="145" t="s">
        <v>150</v>
      </c>
      <c r="E5" s="145" t="s">
        <v>151</v>
      </c>
      <c r="F5" s="146" t="s">
        <v>152</v>
      </c>
      <c r="G5" s="146" t="s">
        <v>25</v>
      </c>
      <c r="H5" s="147" t="s">
        <v>153</v>
      </c>
      <c r="I5" s="147" t="s">
        <v>154</v>
      </c>
      <c r="J5" s="71" t="s">
        <v>153</v>
      </c>
      <c r="K5" s="71" t="s">
        <v>154</v>
      </c>
      <c r="L5" s="72" t="s">
        <v>155</v>
      </c>
      <c r="M5" s="80"/>
      <c r="N5" s="80"/>
      <c r="O5" s="66"/>
      <c r="P5" s="66"/>
      <c r="Q5" s="66"/>
      <c r="R5" s="67"/>
    </row>
    <row r="6" customFormat="false" ht="23.85" hidden="false" customHeight="false" outlineLevel="0" collapsed="false">
      <c r="B6" s="148" t="s">
        <v>156</v>
      </c>
      <c r="C6" s="74" t="n">
        <v>1</v>
      </c>
      <c r="D6" s="149"/>
      <c r="E6" s="149" t="n">
        <f aca="false">E7</f>
        <v>1005</v>
      </c>
      <c r="F6" s="150"/>
      <c r="G6" s="151" t="n">
        <f aca="false">G8</f>
        <v>223.7625</v>
      </c>
      <c r="H6" s="152"/>
      <c r="I6" s="152"/>
      <c r="J6" s="74"/>
      <c r="K6" s="74"/>
      <c r="L6" s="75" t="n">
        <f aca="false">E6+G6</f>
        <v>1228.7625</v>
      </c>
      <c r="M6" s="80"/>
      <c r="N6" s="80"/>
      <c r="O6" s="66"/>
      <c r="P6" s="66"/>
      <c r="Q6" s="66"/>
      <c r="R6" s="67"/>
    </row>
    <row r="7" customFormat="false" ht="13.8" hidden="false" customHeight="false" outlineLevel="0" collapsed="false">
      <c r="B7" s="87" t="s">
        <v>157</v>
      </c>
      <c r="C7" s="74"/>
      <c r="D7" s="149" t="n">
        <v>2.5</v>
      </c>
      <c r="E7" s="149" t="n">
        <f aca="false">D7*Precios!C63</f>
        <v>1005</v>
      </c>
      <c r="F7" s="150"/>
      <c r="G7" s="151"/>
      <c r="H7" s="152"/>
      <c r="I7" s="152"/>
      <c r="J7" s="74"/>
      <c r="K7" s="74"/>
      <c r="L7" s="75"/>
      <c r="M7" s="80"/>
      <c r="N7" s="80"/>
      <c r="O7" s="66"/>
      <c r="P7" s="66"/>
      <c r="Q7" s="66"/>
      <c r="R7" s="67"/>
    </row>
    <row r="8" customFormat="false" ht="13.8" hidden="false" customHeight="false" outlineLevel="0" collapsed="false">
      <c r="B8" s="87" t="s">
        <v>158</v>
      </c>
      <c r="C8" s="74"/>
      <c r="D8" s="149"/>
      <c r="E8" s="149"/>
      <c r="F8" s="150" t="n">
        <v>0.125</v>
      </c>
      <c r="G8" s="151" t="n">
        <f aca="false">F8*Precios!C11</f>
        <v>223.7625</v>
      </c>
      <c r="H8" s="152"/>
      <c r="I8" s="152"/>
      <c r="J8" s="74"/>
      <c r="K8" s="74"/>
      <c r="L8" s="75"/>
      <c r="M8" s="80"/>
      <c r="N8" s="80"/>
      <c r="O8" s="153"/>
      <c r="P8" s="66"/>
      <c r="Q8" s="66"/>
      <c r="R8" s="67"/>
    </row>
    <row r="9" customFormat="false" ht="13.8" hidden="false" customHeight="false" outlineLevel="0" collapsed="false">
      <c r="B9" s="77" t="s">
        <v>159</v>
      </c>
      <c r="C9" s="78"/>
      <c r="D9" s="154"/>
      <c r="E9" s="155"/>
      <c r="F9" s="156"/>
      <c r="G9" s="157"/>
      <c r="H9" s="158"/>
      <c r="I9" s="158"/>
      <c r="J9" s="78"/>
      <c r="K9" s="78"/>
      <c r="L9" s="159" t="n">
        <f aca="false">L6</f>
        <v>1228.7625</v>
      </c>
      <c r="M9" s="80"/>
      <c r="N9" s="80"/>
      <c r="O9" s="66"/>
      <c r="P9" s="66"/>
      <c r="Q9" s="66"/>
      <c r="R9" s="67"/>
    </row>
    <row r="10" customFormat="false" ht="15.75" hidden="false" customHeight="false" outlineLevel="0" collapsed="false">
      <c r="B10" s="80"/>
      <c r="C10" s="80"/>
      <c r="D10" s="80"/>
      <c r="E10" s="80"/>
      <c r="F10" s="80"/>
      <c r="G10" s="80"/>
      <c r="H10" s="80"/>
      <c r="I10" s="80"/>
      <c r="J10" s="80"/>
      <c r="K10" s="80"/>
      <c r="L10" s="80"/>
      <c r="M10" s="80"/>
      <c r="N10" s="80"/>
      <c r="O10" s="66"/>
      <c r="P10" s="66"/>
      <c r="Q10" s="66"/>
      <c r="R10" s="67"/>
    </row>
    <row r="11" s="160" customFormat="true" ht="15.75" hidden="false" customHeight="false" outlineLevel="0" collapsed="false">
      <c r="B11" s="98" t="s">
        <v>160</v>
      </c>
      <c r="C11" s="98"/>
      <c r="D11" s="98"/>
      <c r="E11" s="98"/>
      <c r="F11" s="134"/>
      <c r="G11" s="134"/>
      <c r="H11" s="134"/>
      <c r="I11" s="134"/>
      <c r="J11" s="134"/>
      <c r="K11" s="134"/>
      <c r="L11" s="134"/>
      <c r="M11" s="134"/>
      <c r="N11" s="134"/>
      <c r="O11" s="161"/>
      <c r="P11" s="161"/>
      <c r="Q11" s="161"/>
      <c r="R11" s="162"/>
      <c r="S11" s="163"/>
    </row>
    <row r="12" customFormat="false" ht="30" hidden="false" customHeight="true" outlineLevel="0" collapsed="false">
      <c r="B12" s="164"/>
      <c r="C12" s="140" t="s">
        <v>144</v>
      </c>
      <c r="D12" s="165" t="s">
        <v>161</v>
      </c>
      <c r="E12" s="165" t="s">
        <v>162</v>
      </c>
      <c r="F12" s="166" t="s">
        <v>163</v>
      </c>
      <c r="G12" s="166"/>
      <c r="H12" s="167" t="s">
        <v>164</v>
      </c>
      <c r="I12" s="167"/>
      <c r="J12" s="69" t="s">
        <v>145</v>
      </c>
      <c r="K12" s="69"/>
      <c r="L12" s="168" t="s">
        <v>146</v>
      </c>
      <c r="M12" s="168"/>
      <c r="N12" s="169" t="s">
        <v>147</v>
      </c>
      <c r="O12" s="169"/>
      <c r="P12" s="170" t="s">
        <v>148</v>
      </c>
      <c r="Q12" s="170"/>
      <c r="R12" s="171" t="s">
        <v>149</v>
      </c>
      <c r="S12" s="2"/>
    </row>
    <row r="13" customFormat="false" ht="15" hidden="false" customHeight="false" outlineLevel="0" collapsed="false">
      <c r="B13" s="87"/>
      <c r="C13" s="140"/>
      <c r="D13" s="165"/>
      <c r="E13" s="165"/>
      <c r="F13" s="166"/>
      <c r="G13" s="166"/>
      <c r="H13" s="172" t="s">
        <v>165</v>
      </c>
      <c r="I13" s="172"/>
      <c r="J13" s="71" t="s">
        <v>150</v>
      </c>
      <c r="K13" s="71" t="s">
        <v>151</v>
      </c>
      <c r="L13" s="173" t="s">
        <v>152</v>
      </c>
      <c r="M13" s="173" t="s">
        <v>25</v>
      </c>
      <c r="N13" s="174" t="s">
        <v>153</v>
      </c>
      <c r="O13" s="174" t="s">
        <v>154</v>
      </c>
      <c r="P13" s="175" t="s">
        <v>153</v>
      </c>
      <c r="Q13" s="175" t="s">
        <v>154</v>
      </c>
      <c r="R13" s="72" t="s">
        <v>155</v>
      </c>
      <c r="S13" s="2"/>
    </row>
    <row r="14" customFormat="false" ht="25.5" hidden="false" customHeight="false" outlineLevel="0" collapsed="false">
      <c r="B14" s="148" t="s">
        <v>166</v>
      </c>
      <c r="C14" s="74"/>
      <c r="D14" s="176" t="s">
        <v>167</v>
      </c>
      <c r="E14" s="176" t="s">
        <v>168</v>
      </c>
      <c r="F14" s="177" t="s">
        <v>169</v>
      </c>
      <c r="G14" s="177" t="s">
        <v>170</v>
      </c>
      <c r="H14" s="178" t="s">
        <v>171</v>
      </c>
      <c r="I14" s="178" t="s">
        <v>172</v>
      </c>
      <c r="J14" s="74"/>
      <c r="K14" s="74"/>
      <c r="L14" s="179"/>
      <c r="M14" s="179"/>
      <c r="N14" s="180"/>
      <c r="O14" s="181"/>
      <c r="P14" s="182"/>
      <c r="Q14" s="182"/>
      <c r="R14" s="183"/>
      <c r="S14" s="2"/>
    </row>
    <row r="15" customFormat="false" ht="13.8" hidden="false" customHeight="false" outlineLevel="0" collapsed="false">
      <c r="B15" s="85" t="s">
        <v>173</v>
      </c>
      <c r="C15" s="90" t="n">
        <v>2</v>
      </c>
      <c r="D15" s="184" t="n">
        <v>77</v>
      </c>
      <c r="E15" s="184" t="n">
        <v>1</v>
      </c>
      <c r="F15" s="185"/>
      <c r="G15" s="186" t="n">
        <f aca="false">SUM(G16:G17)</f>
        <v>1178.17106</v>
      </c>
      <c r="H15" s="187"/>
      <c r="I15" s="188" t="n">
        <f aca="false">I16</f>
        <v>1406.944</v>
      </c>
      <c r="J15" s="90"/>
      <c r="K15" s="90"/>
      <c r="L15" s="189"/>
      <c r="M15" s="189" t="n">
        <f aca="false">M16</f>
        <v>550.225</v>
      </c>
      <c r="N15" s="190"/>
      <c r="O15" s="191"/>
      <c r="P15" s="192"/>
      <c r="Q15" s="193"/>
      <c r="R15" s="194" t="n">
        <f aca="false">G15+I15+M15</f>
        <v>3135.34006</v>
      </c>
      <c r="S15" s="2"/>
    </row>
    <row r="16" customFormat="false" ht="13.8" hidden="false" customHeight="false" outlineLevel="0" collapsed="false">
      <c r="B16" s="195" t="s">
        <v>51</v>
      </c>
      <c r="C16" s="90"/>
      <c r="D16" s="184"/>
      <c r="E16" s="184"/>
      <c r="F16" s="185" t="n">
        <v>7E-005</v>
      </c>
      <c r="G16" s="196" t="n">
        <f aca="false">F16*E15*C15*'Cuenta Capital'!E47</f>
        <v>452.83826</v>
      </c>
      <c r="H16" s="197" t="n">
        <v>0.16</v>
      </c>
      <c r="I16" s="198" t="n">
        <f aca="false">H16*E15*C15*D15*Precios!C25</f>
        <v>1406.944</v>
      </c>
      <c r="J16" s="90"/>
      <c r="K16" s="90"/>
      <c r="L16" s="189" t="n">
        <f aca="false">0.125*E15*C15</f>
        <v>0.25</v>
      </c>
      <c r="M16" s="189" t="n">
        <f aca="false">L16*Precios!C12</f>
        <v>550.225</v>
      </c>
      <c r="N16" s="190"/>
      <c r="O16" s="191"/>
      <c r="P16" s="192"/>
      <c r="Q16" s="199"/>
      <c r="R16" s="200"/>
      <c r="S16" s="2"/>
    </row>
    <row r="17" customFormat="false" ht="13.8" hidden="false" customHeight="false" outlineLevel="0" collapsed="false">
      <c r="B17" s="201" t="s">
        <v>52</v>
      </c>
      <c r="C17" s="90"/>
      <c r="D17" s="184"/>
      <c r="E17" s="184"/>
      <c r="F17" s="185" t="n">
        <v>0.0003</v>
      </c>
      <c r="G17" s="196" t="n">
        <f aca="false">F17*E15*C15*'Cuenta Capital'!E48</f>
        <v>725.3328</v>
      </c>
      <c r="H17" s="197"/>
      <c r="I17" s="197"/>
      <c r="J17" s="90"/>
      <c r="K17" s="90"/>
      <c r="L17" s="189"/>
      <c r="M17" s="189"/>
      <c r="N17" s="190"/>
      <c r="O17" s="191"/>
      <c r="P17" s="192"/>
      <c r="Q17" s="199"/>
      <c r="R17" s="200"/>
      <c r="S17" s="2"/>
    </row>
    <row r="18" customFormat="false" ht="13.8" hidden="false" customHeight="false" outlineLevel="0" collapsed="false">
      <c r="B18" s="85" t="s">
        <v>174</v>
      </c>
      <c r="C18" s="202" t="n">
        <v>1</v>
      </c>
      <c r="D18" s="203"/>
      <c r="E18" s="204" t="n">
        <v>1</v>
      </c>
      <c r="F18" s="205"/>
      <c r="G18" s="205"/>
      <c r="H18" s="206"/>
      <c r="I18" s="206"/>
      <c r="J18" s="90"/>
      <c r="K18" s="90"/>
      <c r="L18" s="189"/>
      <c r="M18" s="207" t="n">
        <f aca="false">SUM(M19:M20)</f>
        <v>223.7625</v>
      </c>
      <c r="N18" s="190"/>
      <c r="O18" s="208" t="n">
        <f aca="false">O19</f>
        <v>3732</v>
      </c>
      <c r="P18" s="192"/>
      <c r="Q18" s="193" t="n">
        <f aca="false">SUM(Q19:Q21)</f>
        <v>2576</v>
      </c>
      <c r="R18" s="194" t="n">
        <f aca="false">M18+O18+Q18</f>
        <v>6531.7625</v>
      </c>
      <c r="S18" s="2"/>
    </row>
    <row r="19" customFormat="false" ht="13.8" hidden="false" customHeight="false" outlineLevel="0" collapsed="false">
      <c r="B19" s="209" t="s">
        <v>175</v>
      </c>
      <c r="C19" s="90"/>
      <c r="D19" s="184"/>
      <c r="E19" s="184"/>
      <c r="F19" s="185"/>
      <c r="G19" s="185"/>
      <c r="H19" s="210"/>
      <c r="I19" s="210"/>
      <c r="J19" s="90"/>
      <c r="K19" s="90"/>
      <c r="L19" s="189"/>
      <c r="M19" s="211"/>
      <c r="N19" s="190" t="n">
        <v>120</v>
      </c>
      <c r="O19" s="191" t="n">
        <f aca="false">N19*Precios!C21</f>
        <v>3732</v>
      </c>
      <c r="P19" s="192"/>
      <c r="Q19" s="199"/>
      <c r="R19" s="200"/>
      <c r="S19" s="2"/>
    </row>
    <row r="20" customFormat="false" ht="13.8" hidden="false" customHeight="false" outlineLevel="0" collapsed="false">
      <c r="B20" s="209" t="s">
        <v>176</v>
      </c>
      <c r="C20" s="90"/>
      <c r="D20" s="184"/>
      <c r="E20" s="184"/>
      <c r="F20" s="185"/>
      <c r="G20" s="185"/>
      <c r="H20" s="197"/>
      <c r="I20" s="197"/>
      <c r="J20" s="90"/>
      <c r="K20" s="90"/>
      <c r="L20" s="189" t="n">
        <f aca="false">0.125*E18*C18</f>
        <v>0.125</v>
      </c>
      <c r="M20" s="211" t="n">
        <f aca="false">L20*Precios!C11</f>
        <v>223.7625</v>
      </c>
      <c r="N20" s="190"/>
      <c r="O20" s="191"/>
      <c r="P20" s="192"/>
      <c r="Q20" s="199"/>
      <c r="R20" s="200"/>
      <c r="S20" s="2"/>
    </row>
    <row r="21" customFormat="false" ht="13.8" hidden="false" customHeight="false" outlineLevel="0" collapsed="false">
      <c r="B21" s="212" t="s">
        <v>177</v>
      </c>
      <c r="C21" s="90"/>
      <c r="D21" s="184"/>
      <c r="E21" s="184"/>
      <c r="F21" s="185"/>
      <c r="G21" s="185"/>
      <c r="H21" s="197"/>
      <c r="I21" s="197"/>
      <c r="J21" s="90"/>
      <c r="K21" s="90"/>
      <c r="L21" s="189"/>
      <c r="M21" s="189"/>
      <c r="N21" s="190"/>
      <c r="O21" s="191"/>
      <c r="P21" s="192" t="n">
        <v>1</v>
      </c>
      <c r="Q21" s="199" t="n">
        <f aca="false">P21*Precios!C16</f>
        <v>2576</v>
      </c>
      <c r="R21" s="200"/>
      <c r="S21" s="2"/>
    </row>
    <row r="22" customFormat="false" ht="13.8" hidden="false" customHeight="false" outlineLevel="0" collapsed="false">
      <c r="B22" s="77" t="s">
        <v>178</v>
      </c>
      <c r="C22" s="83"/>
      <c r="D22" s="213"/>
      <c r="E22" s="213"/>
      <c r="F22" s="214"/>
      <c r="G22" s="214"/>
      <c r="H22" s="215"/>
      <c r="I22" s="215"/>
      <c r="J22" s="83"/>
      <c r="K22" s="83"/>
      <c r="L22" s="216"/>
      <c r="M22" s="217"/>
      <c r="N22" s="218"/>
      <c r="O22" s="219"/>
      <c r="P22" s="220"/>
      <c r="Q22" s="221"/>
      <c r="R22" s="222" t="n">
        <f aca="false">SUM(R15:R18)</f>
        <v>9667.10256</v>
      </c>
      <c r="S22" s="2"/>
    </row>
  </sheetData>
  <mergeCells count="17">
    <mergeCell ref="B3:E3"/>
    <mergeCell ref="C4:C5"/>
    <mergeCell ref="D4:E4"/>
    <mergeCell ref="F4:G4"/>
    <mergeCell ref="H4:I4"/>
    <mergeCell ref="J4:K4"/>
    <mergeCell ref="B11:E11"/>
    <mergeCell ref="C12:C13"/>
    <mergeCell ref="D12:D13"/>
    <mergeCell ref="E12:E13"/>
    <mergeCell ref="F12:G13"/>
    <mergeCell ref="H12:I12"/>
    <mergeCell ref="J12:K12"/>
    <mergeCell ref="L12:M12"/>
    <mergeCell ref="N12:O12"/>
    <mergeCell ref="P12:Q12"/>
    <mergeCell ref="H13:I13"/>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B3:I46"/>
  <sheetViews>
    <sheetView showFormulas="false" showGridLines="true" showRowColHeaders="true" showZeros="true" rightToLeft="false" tabSelected="false" showOutlineSymbols="true" defaultGridColor="true" view="normal" topLeftCell="A27" colorId="64" zoomScale="100" zoomScaleNormal="100" zoomScalePageLayoutView="100" workbookViewId="0">
      <selection pane="topLeft" activeCell="G48" activeCellId="0" sqref="G48"/>
    </sheetView>
  </sheetViews>
  <sheetFormatPr defaultRowHeight="15" zeroHeight="false" outlineLevelRow="0" outlineLevelCol="0"/>
  <cols>
    <col collapsed="false" customWidth="true" hidden="false" outlineLevel="0" max="1" min="1" style="1" width="5.28"/>
    <col collapsed="false" customWidth="false" hidden="false" outlineLevel="0" max="2" min="2" style="1" width="11.42"/>
    <col collapsed="false" customWidth="true" hidden="false" outlineLevel="0" max="3" min="3" style="1" width="12.71"/>
    <col collapsed="false" customWidth="false" hidden="false" outlineLevel="0" max="7" min="4" style="1" width="11.42"/>
    <col collapsed="false" customWidth="true" hidden="false" outlineLevel="0" max="8" min="8" style="1" width="9.71"/>
    <col collapsed="false" customWidth="true" hidden="false" outlineLevel="0" max="9" min="9" style="1" width="8.29"/>
    <col collapsed="false" customWidth="false" hidden="false" outlineLevel="0" max="1025" min="10" style="1" width="11.42"/>
  </cols>
  <sheetData>
    <row r="3" customFormat="false" ht="15" hidden="false" customHeight="true" outlineLevel="0" collapsed="false">
      <c r="D3" s="223" t="s">
        <v>179</v>
      </c>
      <c r="E3" s="223"/>
      <c r="F3" s="223"/>
      <c r="G3" s="223"/>
      <c r="H3" s="223"/>
      <c r="I3" s="223"/>
    </row>
    <row r="4" customFormat="false" ht="15.75" hidden="false" customHeight="true" outlineLevel="0" collapsed="false">
      <c r="B4" s="223"/>
      <c r="C4" s="223"/>
      <c r="D4" s="223"/>
      <c r="E4" s="223"/>
      <c r="F4" s="223"/>
      <c r="G4" s="223"/>
      <c r="H4" s="223"/>
      <c r="I4" s="223"/>
    </row>
    <row r="5" customFormat="false" ht="15.75" hidden="false" customHeight="false" outlineLevel="0" collapsed="false">
      <c r="B5" s="119"/>
      <c r="C5" s="224" t="s">
        <v>180</v>
      </c>
      <c r="D5" s="224" t="s">
        <v>124</v>
      </c>
      <c r="E5" s="224" t="s">
        <v>181</v>
      </c>
      <c r="F5" s="224" t="s">
        <v>182</v>
      </c>
      <c r="G5" s="225" t="s">
        <v>183</v>
      </c>
    </row>
    <row r="6" customFormat="false" ht="15" hidden="false" customHeight="false" outlineLevel="0" collapsed="false">
      <c r="B6" s="226" t="s">
        <v>184</v>
      </c>
      <c r="C6" s="227"/>
      <c r="D6" s="227"/>
      <c r="E6" s="227"/>
      <c r="F6" s="227"/>
      <c r="G6" s="228"/>
    </row>
    <row r="7" customFormat="false" ht="13.8" hidden="false" customHeight="false" outlineLevel="0" collapsed="false">
      <c r="B7" s="123"/>
      <c r="C7" s="74" t="s">
        <v>123</v>
      </c>
      <c r="D7" s="74" t="n">
        <f aca="false">'Composicion del Rodeo de Cria'!E16</f>
        <v>200</v>
      </c>
      <c r="E7" s="74" t="n">
        <v>1</v>
      </c>
      <c r="F7" s="74" t="n">
        <f aca="false">Precios!C44</f>
        <v>75</v>
      </c>
      <c r="G7" s="229" t="n">
        <f aca="false">D7*E7*F7</f>
        <v>15000</v>
      </c>
    </row>
    <row r="8" customFormat="false" ht="13.8" hidden="false" customHeight="false" outlineLevel="0" collapsed="false">
      <c r="B8" s="87"/>
      <c r="C8" s="74" t="s">
        <v>125</v>
      </c>
      <c r="D8" s="74" t="n">
        <f aca="false">'Composicion del Rodeo de Cria'!E22</f>
        <v>8</v>
      </c>
      <c r="E8" s="74" t="n">
        <v>1</v>
      </c>
      <c r="F8" s="74" t="n">
        <f aca="false">$F$7</f>
        <v>75</v>
      </c>
      <c r="G8" s="229" t="n">
        <f aca="false">D8*E8*F8</f>
        <v>600</v>
      </c>
    </row>
    <row r="9" customFormat="false" ht="13.8" hidden="false" customHeight="false" outlineLevel="0" collapsed="false">
      <c r="B9" s="87"/>
      <c r="C9" s="74" t="s">
        <v>126</v>
      </c>
      <c r="D9" s="102" t="n">
        <f aca="false">'Composicion del Rodeo de Cria'!E20</f>
        <v>30</v>
      </c>
      <c r="E9" s="74" t="n">
        <v>1</v>
      </c>
      <c r="F9" s="74" t="n">
        <f aca="false">$F$7</f>
        <v>75</v>
      </c>
      <c r="G9" s="229" t="n">
        <f aca="false">D9*E9*F9</f>
        <v>2250</v>
      </c>
    </row>
    <row r="10" customFormat="false" ht="13.8" hidden="false" customHeight="false" outlineLevel="0" collapsed="false">
      <c r="B10" s="87"/>
      <c r="C10" s="74" t="s">
        <v>127</v>
      </c>
      <c r="D10" s="102" t="n">
        <f aca="false">'Composicion del Rodeo de Cria'!E21</f>
        <v>30</v>
      </c>
      <c r="E10" s="74" t="n">
        <v>1</v>
      </c>
      <c r="F10" s="74" t="n">
        <f aca="false">$F$7</f>
        <v>75</v>
      </c>
      <c r="G10" s="229" t="n">
        <f aca="false">D10*E10*F10</f>
        <v>2250</v>
      </c>
    </row>
    <row r="11" customFormat="false" ht="13.8" hidden="false" customHeight="false" outlineLevel="0" collapsed="false">
      <c r="B11" s="87"/>
      <c r="C11" s="74" t="s">
        <v>185</v>
      </c>
      <c r="D11" s="102" t="n">
        <f aca="false">'Composicion del Rodeo de Cria'!E18</f>
        <v>63</v>
      </c>
      <c r="E11" s="74" t="n">
        <v>1</v>
      </c>
      <c r="F11" s="74" t="n">
        <f aca="false">$F$7</f>
        <v>75</v>
      </c>
      <c r="G11" s="229" t="n">
        <f aca="false">D11*E11*F11</f>
        <v>4725</v>
      </c>
    </row>
    <row r="12" customFormat="false" ht="13.8" hidden="false" customHeight="false" outlineLevel="0" collapsed="false">
      <c r="B12" s="87"/>
      <c r="C12" s="74" t="s">
        <v>186</v>
      </c>
      <c r="D12" s="102" t="n">
        <f aca="false">'Composicion del Rodeo de Cria'!E19</f>
        <v>63</v>
      </c>
      <c r="E12" s="74" t="n">
        <v>1</v>
      </c>
      <c r="F12" s="74" t="n">
        <f aca="false">$F$7</f>
        <v>75</v>
      </c>
      <c r="G12" s="229" t="n">
        <f aca="false">D12*E12*F12</f>
        <v>4725</v>
      </c>
    </row>
    <row r="13" customFormat="false" ht="15.75" hidden="false" customHeight="false" outlineLevel="0" collapsed="false">
      <c r="B13" s="230"/>
      <c r="C13" s="91" t="s">
        <v>187</v>
      </c>
      <c r="D13" s="91"/>
      <c r="E13" s="91"/>
      <c r="F13" s="91"/>
      <c r="G13" s="231" t="n">
        <f aca="false">SUM(G7:G12)</f>
        <v>29550</v>
      </c>
    </row>
    <row r="14" customFormat="false" ht="15.75" hidden="false" customHeight="false" outlineLevel="0" collapsed="false">
      <c r="B14" s="68"/>
      <c r="C14" s="136"/>
      <c r="D14" s="80"/>
      <c r="E14" s="80"/>
      <c r="F14" s="80"/>
      <c r="G14" s="232"/>
    </row>
    <row r="15" customFormat="false" ht="15" hidden="false" customHeight="false" outlineLevel="0" collapsed="false">
      <c r="B15" s="233" t="s">
        <v>65</v>
      </c>
      <c r="C15" s="234"/>
      <c r="D15" s="235"/>
      <c r="E15" s="235"/>
      <c r="F15" s="235"/>
      <c r="G15" s="236"/>
    </row>
    <row r="16" customFormat="false" ht="13.8" hidden="false" customHeight="false" outlineLevel="0" collapsed="false">
      <c r="B16" s="87"/>
      <c r="C16" s="74" t="s">
        <v>185</v>
      </c>
      <c r="D16" s="102" t="n">
        <f aca="false">'Composicion del Rodeo de Cria'!E20</f>
        <v>30</v>
      </c>
      <c r="E16" s="74" t="n">
        <v>1</v>
      </c>
      <c r="F16" s="90" t="n">
        <f aca="false">Precios!C45</f>
        <v>50.92</v>
      </c>
      <c r="G16" s="237" t="n">
        <f aca="false">D16*E16*F16</f>
        <v>1527.6</v>
      </c>
    </row>
    <row r="17" customFormat="false" ht="15.75" hidden="false" customHeight="false" outlineLevel="0" collapsed="false">
      <c r="B17" s="230"/>
      <c r="C17" s="91" t="s">
        <v>188</v>
      </c>
      <c r="D17" s="91"/>
      <c r="E17" s="91"/>
      <c r="F17" s="91"/>
      <c r="G17" s="238" t="n">
        <f aca="false">SUM(G16)</f>
        <v>1527.6</v>
      </c>
    </row>
    <row r="18" customFormat="false" ht="15.75" hidden="false" customHeight="false" outlineLevel="0" collapsed="false">
      <c r="B18" s="68"/>
      <c r="C18" s="136"/>
      <c r="D18" s="80"/>
      <c r="E18" s="80"/>
      <c r="F18" s="80"/>
      <c r="G18" s="232"/>
    </row>
    <row r="19" customFormat="false" ht="15" hidden="false" customHeight="false" outlineLevel="0" collapsed="false">
      <c r="B19" s="233" t="s">
        <v>66</v>
      </c>
      <c r="C19" s="234"/>
      <c r="D19" s="235"/>
      <c r="E19" s="235"/>
      <c r="F19" s="235"/>
      <c r="G19" s="236"/>
    </row>
    <row r="20" customFormat="false" ht="13.8" hidden="false" customHeight="false" outlineLevel="0" collapsed="false">
      <c r="B20" s="87"/>
      <c r="C20" s="74" t="s">
        <v>123</v>
      </c>
      <c r="D20" s="74" t="n">
        <f aca="false">D7</f>
        <v>200</v>
      </c>
      <c r="E20" s="74" t="n">
        <v>1</v>
      </c>
      <c r="F20" s="74" t="n">
        <f aca="false">Precios!C46</f>
        <v>12.73</v>
      </c>
      <c r="G20" s="239" t="n">
        <f aca="false">D20*E20*F20</f>
        <v>2546</v>
      </c>
    </row>
    <row r="21" customFormat="false" ht="13.8" hidden="false" customHeight="false" outlineLevel="0" collapsed="false">
      <c r="B21" s="87"/>
      <c r="C21" s="74" t="s">
        <v>125</v>
      </c>
      <c r="D21" s="74" t="n">
        <f aca="false">D8</f>
        <v>8</v>
      </c>
      <c r="E21" s="74" t="n">
        <v>1</v>
      </c>
      <c r="F21" s="74" t="n">
        <f aca="false">$F$20</f>
        <v>12.73</v>
      </c>
      <c r="G21" s="239" t="n">
        <f aca="false">D21*E21*F21</f>
        <v>101.84</v>
      </c>
    </row>
    <row r="22" customFormat="false" ht="13.8" hidden="false" customHeight="false" outlineLevel="0" collapsed="false">
      <c r="B22" s="87"/>
      <c r="C22" s="74" t="s">
        <v>126</v>
      </c>
      <c r="D22" s="74" t="n">
        <f aca="false">D9</f>
        <v>30</v>
      </c>
      <c r="E22" s="74" t="n">
        <v>1</v>
      </c>
      <c r="F22" s="74" t="n">
        <f aca="false">$F$20</f>
        <v>12.73</v>
      </c>
      <c r="G22" s="239" t="n">
        <f aca="false">D22*E22*F22</f>
        <v>381.9</v>
      </c>
    </row>
    <row r="23" customFormat="false" ht="13.8" hidden="false" customHeight="false" outlineLevel="0" collapsed="false">
      <c r="B23" s="87"/>
      <c r="C23" s="74" t="s">
        <v>127</v>
      </c>
      <c r="D23" s="74" t="n">
        <f aca="false">D10</f>
        <v>30</v>
      </c>
      <c r="E23" s="74" t="n">
        <v>1</v>
      </c>
      <c r="F23" s="74" t="n">
        <f aca="false">$F$20</f>
        <v>12.73</v>
      </c>
      <c r="G23" s="239" t="n">
        <f aca="false">D23*E23*F23</f>
        <v>381.9</v>
      </c>
    </row>
    <row r="24" customFormat="false" ht="13.8" hidden="false" customHeight="false" outlineLevel="0" collapsed="false">
      <c r="B24" s="87"/>
      <c r="C24" s="74" t="s">
        <v>185</v>
      </c>
      <c r="D24" s="102" t="n">
        <f aca="false">D11</f>
        <v>63</v>
      </c>
      <c r="E24" s="74" t="n">
        <v>2</v>
      </c>
      <c r="F24" s="74" t="n">
        <f aca="false">$F$20</f>
        <v>12.73</v>
      </c>
      <c r="G24" s="239" t="n">
        <f aca="false">D24*E24*F24</f>
        <v>1603.98</v>
      </c>
    </row>
    <row r="25" customFormat="false" ht="13.8" hidden="false" customHeight="false" outlineLevel="0" collapsed="false">
      <c r="B25" s="87"/>
      <c r="C25" s="74" t="s">
        <v>186</v>
      </c>
      <c r="D25" s="102" t="n">
        <f aca="false">D12</f>
        <v>63</v>
      </c>
      <c r="E25" s="74" t="n">
        <v>2</v>
      </c>
      <c r="F25" s="74" t="n">
        <f aca="false">$F$20</f>
        <v>12.73</v>
      </c>
      <c r="G25" s="239" t="n">
        <f aca="false">D25*E25*F25</f>
        <v>1603.98</v>
      </c>
    </row>
    <row r="26" customFormat="false" ht="13.8" hidden="false" customHeight="false" outlineLevel="0" collapsed="false">
      <c r="B26" s="230"/>
      <c r="C26" s="91" t="s">
        <v>189</v>
      </c>
      <c r="D26" s="91"/>
      <c r="E26" s="91"/>
      <c r="F26" s="91"/>
      <c r="G26" s="240" t="n">
        <f aca="false">SUM(G20:G25)</f>
        <v>6619.6</v>
      </c>
    </row>
    <row r="27" customFormat="false" ht="13.8" hidden="false" customHeight="false" outlineLevel="0" collapsed="false">
      <c r="B27" s="68"/>
      <c r="C27" s="136"/>
      <c r="D27" s="80"/>
      <c r="E27" s="80"/>
      <c r="F27" s="80"/>
      <c r="G27" s="232"/>
    </row>
    <row r="28" customFormat="false" ht="13.8" hidden="false" customHeight="false" outlineLevel="0" collapsed="false">
      <c r="B28" s="233" t="s">
        <v>67</v>
      </c>
      <c r="C28" s="234"/>
      <c r="D28" s="235"/>
      <c r="E28" s="235"/>
      <c r="F28" s="235"/>
      <c r="G28" s="236"/>
    </row>
    <row r="29" customFormat="false" ht="13.8" hidden="false" customHeight="false" outlineLevel="0" collapsed="false">
      <c r="B29" s="87"/>
      <c r="C29" s="74" t="s">
        <v>185</v>
      </c>
      <c r="D29" s="74" t="n">
        <f aca="false">D24</f>
        <v>63</v>
      </c>
      <c r="E29" s="74" t="n">
        <v>2</v>
      </c>
      <c r="F29" s="74" t="n">
        <f aca="false">Precios!C47</f>
        <v>33.5</v>
      </c>
      <c r="G29" s="229" t="n">
        <f aca="false">F29*E29*D29</f>
        <v>4221</v>
      </c>
    </row>
    <row r="30" customFormat="false" ht="13.8" hidden="false" customHeight="false" outlineLevel="0" collapsed="false">
      <c r="B30" s="87"/>
      <c r="C30" s="74" t="s">
        <v>186</v>
      </c>
      <c r="D30" s="74" t="n">
        <f aca="false">D25</f>
        <v>63</v>
      </c>
      <c r="E30" s="74" t="n">
        <v>2</v>
      </c>
      <c r="F30" s="74" t="n">
        <f aca="false">F29</f>
        <v>33.5</v>
      </c>
      <c r="G30" s="229" t="n">
        <f aca="false">F30*E30*D30</f>
        <v>4221</v>
      </c>
    </row>
    <row r="31" customFormat="false" ht="13.8" hidden="false" customHeight="false" outlineLevel="0" collapsed="false">
      <c r="B31" s="87"/>
      <c r="C31" s="71" t="s">
        <v>190</v>
      </c>
      <c r="D31" s="71"/>
      <c r="E31" s="71"/>
      <c r="F31" s="71"/>
      <c r="G31" s="241" t="n">
        <f aca="false">SUM(G29:G30)</f>
        <v>8442</v>
      </c>
    </row>
    <row r="32" customFormat="false" ht="13.8" hidden="false" customHeight="false" outlineLevel="0" collapsed="false">
      <c r="B32" s="87"/>
      <c r="C32" s="71"/>
      <c r="D32" s="74"/>
      <c r="E32" s="74"/>
      <c r="F32" s="74"/>
      <c r="G32" s="241"/>
    </row>
    <row r="33" customFormat="false" ht="13.8" hidden="false" customHeight="false" outlineLevel="0" collapsed="false">
      <c r="B33" s="230"/>
      <c r="C33" s="91" t="s">
        <v>191</v>
      </c>
      <c r="D33" s="91"/>
      <c r="E33" s="91"/>
      <c r="F33" s="91"/>
      <c r="G33" s="231" t="n">
        <f aca="false">SUM(G31,G26,G17,G13)</f>
        <v>46139.2</v>
      </c>
    </row>
    <row r="34" customFormat="false" ht="13.8" hidden="false" customHeight="false" outlineLevel="0" collapsed="false">
      <c r="B34" s="68"/>
      <c r="C34" s="136"/>
      <c r="D34" s="80"/>
      <c r="E34" s="80"/>
      <c r="F34" s="80"/>
      <c r="G34" s="232"/>
    </row>
    <row r="35" customFormat="false" ht="13.8" hidden="false" customHeight="false" outlineLevel="0" collapsed="false">
      <c r="B35" s="242" t="s">
        <v>192</v>
      </c>
      <c r="C35" s="234"/>
      <c r="D35" s="234"/>
      <c r="E35" s="234"/>
      <c r="F35" s="234"/>
      <c r="G35" s="243"/>
    </row>
    <row r="36" customFormat="false" ht="24" hidden="false" customHeight="false" outlineLevel="0" collapsed="false">
      <c r="B36" s="87"/>
      <c r="C36" s="244" t="s">
        <v>193</v>
      </c>
      <c r="D36" s="71" t="s">
        <v>194</v>
      </c>
      <c r="E36" s="245" t="s">
        <v>195</v>
      </c>
      <c r="F36" s="245"/>
      <c r="G36" s="229"/>
    </row>
    <row r="37" customFormat="false" ht="13.8" hidden="false" customHeight="false" outlineLevel="0" collapsed="false">
      <c r="B37" s="246"/>
      <c r="C37" s="74" t="n">
        <v>4</v>
      </c>
      <c r="D37" s="74" t="n">
        <f aca="false">Precios!C12</f>
        <v>2200.9</v>
      </c>
      <c r="E37" s="247"/>
      <c r="F37" s="247"/>
      <c r="G37" s="229" t="n">
        <f aca="false">C37*D37</f>
        <v>8803.6</v>
      </c>
    </row>
    <row r="38" customFormat="false" ht="13.8" hidden="false" customHeight="false" outlineLevel="0" collapsed="false">
      <c r="B38" s="87"/>
      <c r="C38" s="74"/>
      <c r="D38" s="74"/>
      <c r="E38" s="74"/>
      <c r="F38" s="74"/>
      <c r="G38" s="248"/>
    </row>
    <row r="39" customFormat="false" ht="13.8" hidden="false" customHeight="false" outlineLevel="0" collapsed="false">
      <c r="B39" s="230"/>
      <c r="C39" s="91" t="s">
        <v>196</v>
      </c>
      <c r="D39" s="91"/>
      <c r="E39" s="91"/>
      <c r="F39" s="91"/>
      <c r="G39" s="231" t="n">
        <f aca="false">G33+G37</f>
        <v>54942.8</v>
      </c>
      <c r="H39" s="80"/>
    </row>
    <row r="40" customFormat="false" ht="13.8" hidden="false" customHeight="false" outlineLevel="0" collapsed="false">
      <c r="B40" s="68"/>
      <c r="C40" s="80"/>
      <c r="D40" s="80"/>
      <c r="E40" s="80"/>
      <c r="F40" s="80"/>
      <c r="G40" s="124"/>
      <c r="H40" s="80"/>
    </row>
    <row r="41" customFormat="false" ht="13.8" hidden="false" customHeight="false" outlineLevel="0" collapsed="false">
      <c r="C41" s="249" t="s">
        <v>197</v>
      </c>
      <c r="D41" s="250"/>
      <c r="E41" s="251"/>
      <c r="F41" s="227"/>
      <c r="G41" s="228"/>
      <c r="H41" s="136"/>
    </row>
    <row r="42" customFormat="false" ht="13.8" hidden="false" customHeight="false" outlineLevel="0" collapsed="false">
      <c r="B42" s="252"/>
      <c r="C42" s="87"/>
      <c r="D42" s="74"/>
      <c r="E42" s="74"/>
      <c r="F42" s="74"/>
      <c r="G42" s="75"/>
      <c r="H42" s="80"/>
    </row>
    <row r="43" customFormat="false" ht="13.8" hidden="false" customHeight="false" outlineLevel="0" collapsed="false">
      <c r="B43" s="253"/>
      <c r="C43" s="85" t="s">
        <v>198</v>
      </c>
      <c r="D43" s="71" t="s">
        <v>199</v>
      </c>
      <c r="E43" s="71" t="s">
        <v>200</v>
      </c>
      <c r="F43" s="71" t="s">
        <v>201</v>
      </c>
      <c r="G43" s="72" t="s">
        <v>202</v>
      </c>
    </row>
    <row r="44" customFormat="false" ht="13.8" hidden="false" customHeight="false" outlineLevel="0" collapsed="false">
      <c r="B44" s="253"/>
      <c r="C44" s="87" t="s">
        <v>123</v>
      </c>
      <c r="D44" s="74" t="n">
        <f aca="false">'Composicion del Rodeo de Cria'!E16</f>
        <v>200</v>
      </c>
      <c r="E44" s="74" t="n">
        <v>1</v>
      </c>
      <c r="F44" s="74" t="n">
        <f aca="false">Precios!C18</f>
        <v>67</v>
      </c>
      <c r="G44" s="229" t="n">
        <f aca="false">D44*E44*F44</f>
        <v>13400</v>
      </c>
    </row>
    <row r="45" customFormat="false" ht="13.8" hidden="false" customHeight="false" outlineLevel="0" collapsed="false">
      <c r="B45" s="253"/>
      <c r="C45" s="87" t="s">
        <v>127</v>
      </c>
      <c r="D45" s="102" t="n">
        <f aca="false">'Composicion del Rodeo de Cria'!E21</f>
        <v>30</v>
      </c>
      <c r="E45" s="74" t="n">
        <v>1</v>
      </c>
      <c r="F45" s="74" t="n">
        <f aca="false">F44</f>
        <v>67</v>
      </c>
      <c r="G45" s="229" t="n">
        <f aca="false">D45*E45*F45</f>
        <v>2010</v>
      </c>
    </row>
    <row r="46" customFormat="false" ht="13.8" hidden="false" customHeight="false" outlineLevel="0" collapsed="false">
      <c r="B46" s="254"/>
      <c r="C46" s="77" t="s">
        <v>203</v>
      </c>
      <c r="D46" s="77"/>
      <c r="E46" s="77"/>
      <c r="F46" s="77"/>
      <c r="G46" s="231" t="n">
        <f aca="false">SUM(G44:G45)</f>
        <v>15410</v>
      </c>
    </row>
  </sheetData>
  <mergeCells count="7">
    <mergeCell ref="C13:F13"/>
    <mergeCell ref="C17:F17"/>
    <mergeCell ref="C26:F26"/>
    <mergeCell ref="C31:F31"/>
    <mergeCell ref="C33:F33"/>
    <mergeCell ref="C39:F39"/>
    <mergeCell ref="C46:F46"/>
  </mergeCells>
  <printOptions headings="false" gridLines="false" gridLinesSet="true" horizontalCentered="false" verticalCentered="false"/>
  <pageMargins left="1" right="1"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B2:H48"/>
  <sheetViews>
    <sheetView showFormulas="false" showGridLines="true" showRowColHeaders="true" showZeros="true" rightToLeft="false" tabSelected="false" showOutlineSymbols="true" defaultGridColor="true" view="normal" topLeftCell="A27" colorId="64" zoomScale="100" zoomScaleNormal="100" zoomScalePageLayoutView="100" workbookViewId="0">
      <selection pane="topLeft" activeCell="D46" activeCellId="0" sqref="D46"/>
    </sheetView>
  </sheetViews>
  <sheetFormatPr defaultRowHeight="15" zeroHeight="false" outlineLevelRow="0" outlineLevelCol="0"/>
  <cols>
    <col collapsed="false" customWidth="true" hidden="false" outlineLevel="0" max="1" min="1" style="1" width="7.87"/>
    <col collapsed="false" customWidth="true" hidden="false" outlineLevel="0" max="2" min="2" style="80" width="29.86"/>
    <col collapsed="false" customWidth="true" hidden="false" outlineLevel="0" max="3" min="3" style="255" width="14.57"/>
    <col collapsed="false" customWidth="true" hidden="false" outlineLevel="0" max="4" min="4" style="255" width="9.85"/>
    <col collapsed="false" customWidth="true" hidden="false" outlineLevel="0" max="5" min="5" style="255" width="12.86"/>
    <col collapsed="false" customWidth="true" hidden="false" outlineLevel="0" max="6" min="6" style="80" width="15.19"/>
    <col collapsed="false" customWidth="true" hidden="false" outlineLevel="0" max="7" min="7" style="80" width="10.71"/>
    <col collapsed="false" customWidth="true" hidden="false" outlineLevel="0" max="9" min="8" style="80" width="7"/>
    <col collapsed="false" customWidth="true" hidden="false" outlineLevel="0" max="10" min="10" style="80" width="10.99"/>
    <col collapsed="false" customWidth="true" hidden="false" outlineLevel="0" max="11" min="11" style="80" width="8.4"/>
    <col collapsed="false" customWidth="true" hidden="false" outlineLevel="0" max="12" min="12" style="80" width="14.43"/>
    <col collapsed="false" customWidth="true" hidden="false" outlineLevel="0" max="13" min="13" style="80" width="13.57"/>
    <col collapsed="false" customWidth="true" hidden="false" outlineLevel="0" max="14" min="14" style="80" width="9.29"/>
    <col collapsed="false" customWidth="false" hidden="false" outlineLevel="0" max="17" min="15" style="66" width="11.42"/>
    <col collapsed="false" customWidth="false" hidden="false" outlineLevel="0" max="18" min="18" style="67" width="11.42"/>
    <col collapsed="false" customWidth="false" hidden="false" outlineLevel="0" max="1025" min="19" style="1" width="11.42"/>
  </cols>
  <sheetData>
    <row r="2" customFormat="false" ht="15.75" hidden="false" customHeight="false" outlineLevel="0" collapsed="false"/>
    <row r="3" customFormat="false" ht="13.8" hidden="false" customHeight="false" outlineLevel="0" collapsed="false">
      <c r="B3" s="107" t="s">
        <v>204</v>
      </c>
      <c r="C3" s="107"/>
      <c r="D3" s="107"/>
      <c r="E3" s="109"/>
    </row>
    <row r="4" customFormat="false" ht="13.8" hidden="false" customHeight="false" outlineLevel="0" collapsed="false">
      <c r="B4" s="85" t="s">
        <v>205</v>
      </c>
      <c r="C4" s="85"/>
      <c r="D4" s="85"/>
      <c r="E4" s="72" t="s">
        <v>206</v>
      </c>
    </row>
    <row r="5" customFormat="false" ht="13.8" hidden="false" customHeight="false" outlineLevel="0" collapsed="false">
      <c r="B5" s="76" t="s">
        <v>207</v>
      </c>
      <c r="C5" s="76"/>
      <c r="D5" s="76"/>
      <c r="E5" s="229" t="n">
        <f aca="false">(12000/10)*Precios!C25</f>
        <v>68520</v>
      </c>
    </row>
    <row r="6" customFormat="false" ht="13.8" hidden="false" customHeight="false" outlineLevel="0" collapsed="false">
      <c r="B6" s="76" t="s">
        <v>208</v>
      </c>
      <c r="C6" s="76"/>
      <c r="D6" s="76"/>
      <c r="E6" s="229" t="n">
        <f aca="false">12000*0.000005*'Cuenta Capital'!F43</f>
        <v>96960</v>
      </c>
    </row>
    <row r="7" customFormat="false" ht="13.8" hidden="false" customHeight="false" outlineLevel="0" collapsed="false">
      <c r="B7" s="76" t="s">
        <v>209</v>
      </c>
      <c r="C7" s="76"/>
      <c r="D7" s="76"/>
      <c r="E7" s="229" t="n">
        <v>18000</v>
      </c>
    </row>
    <row r="8" customFormat="false" ht="13.8" hidden="false" customHeight="false" outlineLevel="0" collapsed="false">
      <c r="B8" s="76" t="s">
        <v>210</v>
      </c>
      <c r="C8" s="76"/>
      <c r="D8" s="76"/>
      <c r="E8" s="239" t="n">
        <f aca="false">('Cuenta Capital'!F28+'Cuenta Capital'!F16)*0.02</f>
        <v>69391.74</v>
      </c>
    </row>
    <row r="9" customFormat="false" ht="13.8" hidden="false" customHeight="false" outlineLevel="0" collapsed="false">
      <c r="B9" s="76" t="s">
        <v>211</v>
      </c>
      <c r="C9" s="76"/>
      <c r="D9" s="76"/>
      <c r="E9" s="229" t="n">
        <f aca="false">'Cuenta Capital'!$F$10*0.005</f>
        <v>53231.5</v>
      </c>
    </row>
    <row r="10" customFormat="false" ht="13.8" hidden="false" customHeight="false" outlineLevel="0" collapsed="false">
      <c r="B10" s="76" t="s">
        <v>212</v>
      </c>
      <c r="C10" s="76"/>
      <c r="D10" s="76"/>
      <c r="E10" s="229" t="n">
        <f aca="false">'Cuenta Capital'!$F$10*0.005</f>
        <v>53231.5</v>
      </c>
    </row>
    <row r="11" customFormat="false" ht="13.8" hidden="false" customHeight="false" outlineLevel="0" collapsed="false">
      <c r="B11" s="76" t="s">
        <v>213</v>
      </c>
      <c r="C11" s="76"/>
      <c r="D11" s="76"/>
      <c r="E11" s="229" t="n">
        <f aca="false">Precios!C13*13</f>
        <v>617154.2</v>
      </c>
    </row>
    <row r="12" customFormat="false" ht="13.8" hidden="false" customHeight="false" outlineLevel="0" collapsed="false">
      <c r="B12" s="76" t="s">
        <v>214</v>
      </c>
      <c r="C12" s="76"/>
      <c r="D12" s="76"/>
      <c r="E12" s="229" t="n">
        <v>2500</v>
      </c>
    </row>
    <row r="13" customFormat="false" ht="13.8" hidden="false" customHeight="false" outlineLevel="0" collapsed="false">
      <c r="B13" s="77" t="s">
        <v>130</v>
      </c>
      <c r="C13" s="77"/>
      <c r="D13" s="77"/>
      <c r="E13" s="256" t="n">
        <f aca="false">SUM(E5:E12)</f>
        <v>978988.94</v>
      </c>
    </row>
    <row r="14" customFormat="false" ht="15.75" hidden="false" customHeight="false" outlineLevel="0" collapsed="false">
      <c r="C14" s="80"/>
      <c r="D14" s="80"/>
      <c r="E14" s="80"/>
    </row>
    <row r="15" customFormat="false" ht="15" hidden="false" customHeight="false" outlineLevel="0" collapsed="false">
      <c r="B15" s="257" t="s">
        <v>215</v>
      </c>
      <c r="C15" s="257"/>
      <c r="D15" s="257"/>
      <c r="E15" s="257"/>
    </row>
    <row r="16" customFormat="false" ht="13.8" hidden="false" customHeight="false" outlineLevel="0" collapsed="false">
      <c r="B16" s="76" t="s">
        <v>216</v>
      </c>
      <c r="C16" s="71" t="s">
        <v>130</v>
      </c>
      <c r="D16" s="71" t="s">
        <v>217</v>
      </c>
      <c r="E16" s="72"/>
    </row>
    <row r="17" customFormat="false" ht="13.8" hidden="false" customHeight="false" outlineLevel="0" collapsed="false">
      <c r="B17" s="209" t="s">
        <v>218</v>
      </c>
      <c r="C17" s="258" t="n">
        <f aca="false">'Gastos Directos -Sanidad'!G39</f>
        <v>54942.8</v>
      </c>
      <c r="D17" s="258" t="n">
        <f aca="false">C17/'Cuenta Capital'!$D$10</f>
        <v>121.019383259912</v>
      </c>
      <c r="E17" s="259"/>
    </row>
    <row r="18" customFormat="false" ht="13.8" hidden="false" customHeight="false" outlineLevel="0" collapsed="false">
      <c r="B18" s="209" t="s">
        <v>219</v>
      </c>
      <c r="C18" s="258" t="n">
        <f aca="false">'Gastos Directos -Sanidad'!G46</f>
        <v>15410</v>
      </c>
      <c r="D18" s="258" t="n">
        <f aca="false">C18/'Cuenta Capital'!$D$10</f>
        <v>33.942731277533</v>
      </c>
      <c r="E18" s="259"/>
    </row>
    <row r="19" customFormat="false" ht="13.8" hidden="false" customHeight="false" outlineLevel="0" collapsed="false">
      <c r="B19" s="209" t="s">
        <v>104</v>
      </c>
      <c r="C19" s="258" t="n">
        <f aca="false">'Gastos Directos Forrajes'!R22*'Cuenta Capital'!D7</f>
        <v>483355.128</v>
      </c>
      <c r="D19" s="258" t="n">
        <f aca="false">'Gastos Directos Forrajes'!R22</f>
        <v>9667.10256</v>
      </c>
      <c r="E19" s="259"/>
    </row>
    <row r="20" customFormat="false" ht="13.8" hidden="false" customHeight="false" outlineLevel="0" collapsed="false">
      <c r="B20" s="209" t="s">
        <v>220</v>
      </c>
      <c r="C20" s="258" t="n">
        <f aca="false">'Gastos Directos Forrajes'!L9*'Cuenta Capital'!D6</f>
        <v>184314.375</v>
      </c>
      <c r="D20" s="258" t="n">
        <f aca="false">'Gastos Directos Forrajes'!L9</f>
        <v>1228.7625</v>
      </c>
      <c r="E20" s="239"/>
    </row>
    <row r="21" customFormat="false" ht="13.8" hidden="false" customHeight="false" outlineLevel="0" collapsed="false">
      <c r="B21" s="76" t="s">
        <v>221</v>
      </c>
      <c r="C21" s="260" t="n">
        <f aca="false">SUM(C17:C20)</f>
        <v>738022.303</v>
      </c>
      <c r="D21" s="260" t="n">
        <f aca="false">SUM(D17:D20)</f>
        <v>11050.8271745374</v>
      </c>
      <c r="E21" s="261"/>
    </row>
    <row r="22" customFormat="false" ht="13.8" hidden="false" customHeight="false" outlineLevel="0" collapsed="false">
      <c r="B22" s="76" t="s">
        <v>222</v>
      </c>
      <c r="C22" s="260"/>
      <c r="D22" s="260"/>
      <c r="E22" s="261"/>
    </row>
    <row r="23" customFormat="false" ht="13.8" hidden="false" customHeight="false" outlineLevel="0" collapsed="false">
      <c r="B23" s="76" t="s">
        <v>223</v>
      </c>
      <c r="C23" s="260" t="n">
        <f aca="false">E13</f>
        <v>978988.94</v>
      </c>
      <c r="D23" s="102" t="n">
        <f aca="false">C23/'Cuenta Capital'!$D$10</f>
        <v>2156.36330396476</v>
      </c>
      <c r="E23" s="261"/>
    </row>
    <row r="24" customFormat="false" ht="13.8" hidden="false" customHeight="false" outlineLevel="0" collapsed="false">
      <c r="B24" s="77" t="s">
        <v>224</v>
      </c>
      <c r="C24" s="262" t="n">
        <f aca="false">C21+C23</f>
        <v>1717011.243</v>
      </c>
      <c r="D24" s="263" t="n">
        <f aca="false">D23+D21</f>
        <v>13207.1904785022</v>
      </c>
      <c r="E24" s="264"/>
    </row>
    <row r="25" customFormat="false" ht="15.75" hidden="false" customHeight="false" outlineLevel="0" collapsed="false">
      <c r="B25" s="136"/>
      <c r="C25" s="136"/>
      <c r="D25" s="80"/>
      <c r="E25" s="136"/>
    </row>
    <row r="26" customFormat="false" ht="45" hidden="false" customHeight="true" outlineLevel="0" collapsed="false">
      <c r="B26" s="226" t="s">
        <v>225</v>
      </c>
      <c r="C26" s="227" t="s">
        <v>226</v>
      </c>
      <c r="D26" s="227"/>
      <c r="E26" s="140" t="s">
        <v>227</v>
      </c>
      <c r="F26" s="140" t="s">
        <v>228</v>
      </c>
      <c r="G26" s="228" t="s">
        <v>229</v>
      </c>
      <c r="H26" s="228"/>
    </row>
    <row r="27" customFormat="false" ht="15" hidden="false" customHeight="false" outlineLevel="0" collapsed="false">
      <c r="B27" s="226"/>
      <c r="C27" s="71" t="s">
        <v>230</v>
      </c>
      <c r="D27" s="71" t="s">
        <v>217</v>
      </c>
      <c r="E27" s="140"/>
      <c r="F27" s="140"/>
      <c r="G27" s="71" t="s">
        <v>217</v>
      </c>
      <c r="H27" s="72" t="s">
        <v>132</v>
      </c>
    </row>
    <row r="28" customFormat="false" ht="13.8" hidden="false" customHeight="false" outlineLevel="0" collapsed="false">
      <c r="B28" s="209" t="s">
        <v>218</v>
      </c>
      <c r="C28" s="258" t="n">
        <f aca="false">C17</f>
        <v>54942.8</v>
      </c>
      <c r="D28" s="258" t="n">
        <f aca="false">D17</f>
        <v>121.019383259912</v>
      </c>
      <c r="E28" s="102" t="n">
        <v>365</v>
      </c>
      <c r="F28" s="265" t="n">
        <v>182.5</v>
      </c>
      <c r="G28" s="102"/>
      <c r="H28" s="266" t="n">
        <f aca="false">C28*0.12*(F28/E28)</f>
        <v>3296.568</v>
      </c>
    </row>
    <row r="29" customFormat="false" ht="13.8" hidden="false" customHeight="false" outlineLevel="0" collapsed="false">
      <c r="B29" s="209" t="s">
        <v>219</v>
      </c>
      <c r="C29" s="258" t="n">
        <f aca="false">C18</f>
        <v>15410</v>
      </c>
      <c r="D29" s="258" t="n">
        <f aca="false">D18</f>
        <v>33.942731277533</v>
      </c>
      <c r="E29" s="102" t="n">
        <v>365</v>
      </c>
      <c r="F29" s="265" t="n">
        <v>182.5</v>
      </c>
      <c r="G29" s="102"/>
      <c r="H29" s="266" t="n">
        <f aca="false">C29*0.12*(F29/E29)</f>
        <v>924.6</v>
      </c>
    </row>
    <row r="30" customFormat="false" ht="13.8" hidden="false" customHeight="false" outlineLevel="0" collapsed="false">
      <c r="B30" s="209" t="s">
        <v>104</v>
      </c>
      <c r="C30" s="258" t="n">
        <f aca="false">'Gastos Directos Forrajes'!R22*'Cuenta Capital'!D7</f>
        <v>483355.128</v>
      </c>
      <c r="D30" s="258" t="n">
        <f aca="false">D19</f>
        <v>9667.10256</v>
      </c>
      <c r="E30" s="102" t="n">
        <v>365</v>
      </c>
      <c r="F30" s="265" t="n">
        <v>182.5</v>
      </c>
      <c r="G30" s="102"/>
      <c r="H30" s="266" t="n">
        <f aca="false">C30*0.12*(F30/E30)</f>
        <v>29001.30768</v>
      </c>
    </row>
    <row r="31" customFormat="false" ht="13.8" hidden="false" customHeight="false" outlineLevel="0" collapsed="false">
      <c r="B31" s="209" t="s">
        <v>220</v>
      </c>
      <c r="C31" s="258" t="n">
        <f aca="false">'Gastos Directos Forrajes'!L9*'Cuenta Capital'!D6</f>
        <v>184314.375</v>
      </c>
      <c r="D31" s="258" t="n">
        <f aca="false">D20</f>
        <v>1228.7625</v>
      </c>
      <c r="E31" s="102" t="n">
        <v>365</v>
      </c>
      <c r="F31" s="265" t="n">
        <v>182.5</v>
      </c>
      <c r="G31" s="102"/>
      <c r="H31" s="266" t="n">
        <f aca="false">C31*0.12*(F31/E31)</f>
        <v>11058.8625</v>
      </c>
    </row>
    <row r="32" customFormat="false" ht="13.8" hidden="false" customHeight="false" outlineLevel="0" collapsed="false">
      <c r="B32" s="209" t="s">
        <v>222</v>
      </c>
      <c r="C32" s="258" t="n">
        <f aca="false">C23</f>
        <v>978988.94</v>
      </c>
      <c r="D32" s="258" t="n">
        <f aca="false">D23</f>
        <v>2156.36330396476</v>
      </c>
      <c r="E32" s="102" t="n">
        <v>365</v>
      </c>
      <c r="F32" s="265" t="n">
        <v>182.5</v>
      </c>
      <c r="G32" s="102"/>
      <c r="H32" s="266" t="n">
        <f aca="false">C32*0.12*(F32/E32)</f>
        <v>58739.3364</v>
      </c>
    </row>
    <row r="33" customFormat="false" ht="15.75" hidden="false" customHeight="false" outlineLevel="0" collapsed="false">
      <c r="B33" s="77" t="s">
        <v>130</v>
      </c>
      <c r="C33" s="262" t="n">
        <f aca="false">SUM(C28:C32)</f>
        <v>1717011.243</v>
      </c>
      <c r="D33" s="262" t="n">
        <f aca="false">SUM(D28:D32)</f>
        <v>13207.1904785022</v>
      </c>
      <c r="E33" s="263"/>
      <c r="F33" s="263"/>
      <c r="G33" s="263" t="n">
        <f aca="false">SUM(G28:G32)</f>
        <v>0</v>
      </c>
      <c r="H33" s="264" t="n">
        <f aca="false">SUM(H28:H32)</f>
        <v>103020.67458</v>
      </c>
    </row>
    <row r="34" customFormat="false" ht="15.75" hidden="false" customHeight="false" outlineLevel="0" collapsed="false">
      <c r="C34" s="80"/>
      <c r="D34" s="80"/>
      <c r="E34" s="80"/>
    </row>
    <row r="35" customFormat="false" ht="15" hidden="false" customHeight="false" outlineLevel="0" collapsed="false">
      <c r="B35" s="257" t="s">
        <v>231</v>
      </c>
      <c r="C35" s="257"/>
      <c r="D35" s="257"/>
      <c r="E35" s="257"/>
    </row>
    <row r="36" customFormat="false" ht="13.8" hidden="false" customHeight="false" outlineLevel="0" collapsed="false">
      <c r="B36" s="85" t="s">
        <v>232</v>
      </c>
      <c r="C36" s="71" t="s">
        <v>233</v>
      </c>
      <c r="D36" s="71" t="s">
        <v>217</v>
      </c>
      <c r="E36" s="72" t="s">
        <v>234</v>
      </c>
    </row>
    <row r="37" customFormat="false" ht="13.8" hidden="false" customHeight="false" outlineLevel="0" collapsed="false">
      <c r="B37" s="87" t="s">
        <v>135</v>
      </c>
      <c r="C37" s="258" t="n">
        <f aca="false">'Cuenta Capital'!N10+'Cuenta Capital'!N16</f>
        <v>549065</v>
      </c>
      <c r="D37" s="258" t="n">
        <f aca="false">C37/'Cuenta Capital'!$D$10</f>
        <v>1209.39427312775</v>
      </c>
      <c r="E37" s="239"/>
    </row>
    <row r="38" customFormat="false" ht="13.8" hidden="false" customHeight="false" outlineLevel="0" collapsed="false">
      <c r="B38" s="87" t="s">
        <v>137</v>
      </c>
      <c r="C38" s="258" t="n">
        <f aca="false">'Cuenta Capital'!N28</f>
        <v>94037.61</v>
      </c>
      <c r="D38" s="258" t="n">
        <f aca="false">C38/'Cuenta Capital'!$D$10</f>
        <v>207.131299559471</v>
      </c>
      <c r="E38" s="239"/>
    </row>
    <row r="39" customFormat="false" ht="13.8" hidden="false" customHeight="false" outlineLevel="0" collapsed="false">
      <c r="B39" s="87" t="s">
        <v>235</v>
      </c>
      <c r="C39" s="258" t="n">
        <f aca="false">'Cuenta Capital'!N38+'Cuenta Capital'!N49</f>
        <v>897121.364</v>
      </c>
      <c r="D39" s="258" t="n">
        <f aca="false">C39/'Cuenta Capital'!$D$10</f>
        <v>1976.03824669604</v>
      </c>
      <c r="E39" s="239"/>
    </row>
    <row r="40" customFormat="false" ht="13.8" hidden="false" customHeight="false" outlineLevel="0" collapsed="false">
      <c r="B40" s="87" t="s">
        <v>236</v>
      </c>
      <c r="C40" s="258" t="n">
        <f aca="false">H33</f>
        <v>103020.67458</v>
      </c>
      <c r="D40" s="258" t="n">
        <f aca="false">C40/'Cuenta Capital'!$D$10</f>
        <v>226.917785418502</v>
      </c>
      <c r="E40" s="239"/>
    </row>
    <row r="41" customFormat="false" ht="13.8" hidden="false" customHeight="false" outlineLevel="0" collapsed="false">
      <c r="B41" s="85" t="s">
        <v>237</v>
      </c>
      <c r="C41" s="267" t="n">
        <f aca="false">SUM(C37:C40)</f>
        <v>1643244.64858</v>
      </c>
      <c r="D41" s="258" t="n">
        <f aca="false">C41/'Cuenta Capital'!$D$10</f>
        <v>3619.48160480176</v>
      </c>
      <c r="E41" s="266"/>
    </row>
    <row r="42" customFormat="false" ht="13.8" hidden="false" customHeight="false" outlineLevel="0" collapsed="false">
      <c r="B42" s="87" t="s">
        <v>216</v>
      </c>
      <c r="C42" s="258" t="n">
        <f aca="false">C21</f>
        <v>738022.303</v>
      </c>
      <c r="D42" s="258" t="n">
        <f aca="false">C42/'Cuenta Capital'!$D$10</f>
        <v>1625.59978634361</v>
      </c>
      <c r="E42" s="239"/>
    </row>
    <row r="43" customFormat="false" ht="13.8" hidden="false" customHeight="false" outlineLevel="0" collapsed="false">
      <c r="B43" s="87" t="s">
        <v>222</v>
      </c>
      <c r="C43" s="258" t="n">
        <f aca="false">C23</f>
        <v>978988.94</v>
      </c>
      <c r="D43" s="258" t="n">
        <f aca="false">C43/'Cuenta Capital'!$D$10</f>
        <v>2156.36330396476</v>
      </c>
      <c r="E43" s="239"/>
    </row>
    <row r="44" customFormat="false" ht="13.8" hidden="false" customHeight="false" outlineLevel="0" collapsed="false">
      <c r="B44" s="85" t="s">
        <v>224</v>
      </c>
      <c r="C44" s="267" t="n">
        <f aca="false">SUM(C42:C43)</f>
        <v>1717011.243</v>
      </c>
      <c r="D44" s="258" t="n">
        <f aca="false">C44/'Cuenta Capital'!$D$10</f>
        <v>3781.96309030837</v>
      </c>
      <c r="E44" s="266"/>
    </row>
    <row r="45" customFormat="false" ht="13.8" hidden="false" customHeight="false" outlineLevel="0" collapsed="false">
      <c r="B45" s="85" t="s">
        <v>133</v>
      </c>
      <c r="C45" s="267" t="n">
        <f aca="false">SUM('Cuenta Capital'!J28,'Cuenta Capital'!J38,'Cuenta Capital'!J49)</f>
        <v>713166.836666667</v>
      </c>
      <c r="D45" s="258" t="n">
        <f aca="false">C45/'Cuenta Capital'!$D$10</f>
        <v>1570.85206314244</v>
      </c>
      <c r="E45" s="266"/>
    </row>
    <row r="46" customFormat="false" ht="13.8" hidden="false" customHeight="false" outlineLevel="0" collapsed="false">
      <c r="B46" s="268" t="s">
        <v>238</v>
      </c>
      <c r="C46" s="269" t="n">
        <f aca="false">C44+C45</f>
        <v>2430178.07966667</v>
      </c>
      <c r="D46" s="270" t="n">
        <f aca="false">C46/'Cuenta Capital'!$D$10</f>
        <v>5352.81515345081</v>
      </c>
      <c r="E46" s="271"/>
    </row>
    <row r="47" customFormat="false" ht="13.8" hidden="false" customHeight="false" outlineLevel="0" collapsed="false">
      <c r="B47" s="272" t="s">
        <v>239</v>
      </c>
      <c r="C47" s="273" t="n">
        <f aca="false">SUM(C41,C44,C45)</f>
        <v>4073422.72824667</v>
      </c>
      <c r="D47" s="274" t="n">
        <f aca="false">C47/'Cuenta Capital'!$D$10</f>
        <v>8972.29675825257</v>
      </c>
      <c r="E47" s="275"/>
    </row>
    <row r="48" customFormat="false" ht="13.8" hidden="false" customHeight="false" outlineLevel="0" collapsed="false"/>
  </sheetData>
  <mergeCells count="18">
    <mergeCell ref="B3:D3"/>
    <mergeCell ref="B4:D4"/>
    <mergeCell ref="B5:D5"/>
    <mergeCell ref="B6:D6"/>
    <mergeCell ref="B7:D7"/>
    <mergeCell ref="B8:D8"/>
    <mergeCell ref="B9:D9"/>
    <mergeCell ref="B10:D10"/>
    <mergeCell ref="B11:D11"/>
    <mergeCell ref="B12:D12"/>
    <mergeCell ref="B13:D13"/>
    <mergeCell ref="B15:E15"/>
    <mergeCell ref="B26:B27"/>
    <mergeCell ref="C26:D26"/>
    <mergeCell ref="E26:E27"/>
    <mergeCell ref="F26:F27"/>
    <mergeCell ref="G26:H26"/>
    <mergeCell ref="B35:E35"/>
  </mergeCell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3:L54"/>
  <sheetViews>
    <sheetView showFormulas="false" showGridLines="true" showRowColHeaders="true" showZeros="true" rightToLeft="false" tabSelected="false" showOutlineSymbols="true" defaultGridColor="true" view="normal" topLeftCell="A39" colorId="64" zoomScale="100" zoomScaleNormal="100" zoomScalePageLayoutView="100" workbookViewId="0">
      <selection pane="topLeft" activeCell="B54" activeCellId="0" sqref="B54"/>
    </sheetView>
  </sheetViews>
  <sheetFormatPr defaultRowHeight="15" zeroHeight="false" outlineLevelRow="0" outlineLevelCol="0"/>
  <cols>
    <col collapsed="false" customWidth="false" hidden="false" outlineLevel="0" max="3" min="1" style="1" width="11.42"/>
    <col collapsed="false" customWidth="true" hidden="false" outlineLevel="0" max="4" min="4" style="1" width="12.42"/>
    <col collapsed="false" customWidth="true" hidden="false" outlineLevel="0" max="5" min="5" style="1" width="14.28"/>
    <col collapsed="false" customWidth="true" hidden="false" outlineLevel="0" max="6" min="6" style="1" width="12.57"/>
    <col collapsed="false" customWidth="false" hidden="false" outlineLevel="0" max="11" min="7" style="1" width="11.42"/>
    <col collapsed="false" customWidth="true" hidden="false" outlineLevel="0" max="12" min="12" style="1" width="12.29"/>
    <col collapsed="false" customWidth="false" hidden="false" outlineLevel="0" max="1025" min="13" style="1" width="11.42"/>
  </cols>
  <sheetData>
    <row r="3" customFormat="false" ht="16.5" hidden="false" customHeight="false" outlineLevel="0" collapsed="false">
      <c r="B3" s="276" t="str">
        <f aca="false">'Composicion del Rodeo de Cria'!C3</f>
        <v>"Costo de Produccion de Cria Bovina"</v>
      </c>
      <c r="C3" s="276"/>
      <c r="D3" s="276"/>
      <c r="E3" s="276"/>
      <c r="F3" s="276"/>
      <c r="G3" s="276"/>
      <c r="H3" s="276"/>
      <c r="I3" s="276"/>
    </row>
    <row r="4" customFormat="false" ht="15.75" hidden="false" customHeight="false" outlineLevel="0" collapsed="false">
      <c r="B4" s="277" t="s">
        <v>240</v>
      </c>
      <c r="C4" s="277"/>
      <c r="D4" s="277"/>
      <c r="E4" s="277"/>
      <c r="F4" s="277"/>
      <c r="G4" s="277"/>
      <c r="H4" s="277"/>
      <c r="I4" s="277"/>
    </row>
    <row r="5" customFormat="false" ht="15.75" hidden="false" customHeight="false" outlineLevel="0" collapsed="false">
      <c r="B5" s="278"/>
      <c r="C5" s="2"/>
      <c r="D5" s="2"/>
      <c r="E5" s="2"/>
      <c r="F5" s="2"/>
      <c r="G5" s="2"/>
      <c r="H5" s="2"/>
      <c r="I5" s="279"/>
    </row>
    <row r="6" customFormat="false" ht="15" hidden="false" customHeight="false" outlineLevel="0" collapsed="false">
      <c r="B6" s="280" t="s">
        <v>241</v>
      </c>
      <c r="C6" s="280"/>
      <c r="D6" s="281" t="s">
        <v>242</v>
      </c>
      <c r="E6" s="281" t="s">
        <v>25</v>
      </c>
      <c r="F6" s="282" t="s">
        <v>234</v>
      </c>
      <c r="G6" s="2"/>
      <c r="H6" s="2"/>
      <c r="I6" s="279"/>
    </row>
    <row r="7" customFormat="false" ht="15" hidden="false" customHeight="false" outlineLevel="0" collapsed="false">
      <c r="B7" s="283" t="s">
        <v>243</v>
      </c>
      <c r="C7" s="283"/>
      <c r="D7" s="284" t="n">
        <f aca="false">'Cuenta Capital'!N10</f>
        <v>532315</v>
      </c>
      <c r="E7" s="284" t="n">
        <f aca="false">D7/'Cuenta Capital'!$D$10</f>
        <v>1172.5</v>
      </c>
      <c r="F7" s="285" t="n">
        <f aca="false">D7/$F$29</f>
        <v>22.3661764705882</v>
      </c>
      <c r="G7" s="2"/>
      <c r="H7" s="2"/>
      <c r="I7" s="279"/>
    </row>
    <row r="8" customFormat="false" ht="15" hidden="false" customHeight="false" outlineLevel="0" collapsed="false">
      <c r="B8" s="283" t="s">
        <v>244</v>
      </c>
      <c r="C8" s="283"/>
      <c r="D8" s="284" t="n">
        <f aca="false">'Cuenta Capital'!N28</f>
        <v>94037.61</v>
      </c>
      <c r="E8" s="284" t="n">
        <f aca="false">D8/'Cuenta Capital'!$D$10</f>
        <v>207.131299559471</v>
      </c>
      <c r="F8" s="285" t="n">
        <f aca="false">D8/$F$29</f>
        <v>3.95116008403361</v>
      </c>
      <c r="G8" s="2"/>
      <c r="H8" s="2"/>
      <c r="I8" s="279"/>
    </row>
    <row r="9" customFormat="false" ht="15" hidden="false" customHeight="false" outlineLevel="0" collapsed="false">
      <c r="B9" s="283" t="s">
        <v>245</v>
      </c>
      <c r="C9" s="283"/>
      <c r="D9" s="284" t="n">
        <f aca="false">'Cuenta Capital'!N38+'Cuenta Capital'!N49</f>
        <v>897121.364</v>
      </c>
      <c r="E9" s="284" t="n">
        <f aca="false">D9/'Cuenta Capital'!$D$10</f>
        <v>1976.03824669604</v>
      </c>
      <c r="F9" s="285" t="n">
        <f aca="false">D9/$F$29</f>
        <v>37.6941749579832</v>
      </c>
      <c r="G9" s="2"/>
      <c r="H9" s="2"/>
      <c r="I9" s="279"/>
    </row>
    <row r="10" customFormat="false" ht="15" hidden="false" customHeight="false" outlineLevel="0" collapsed="false">
      <c r="B10" s="283" t="s">
        <v>246</v>
      </c>
      <c r="C10" s="283"/>
      <c r="D10" s="284" t="n">
        <f aca="false">'Costo de Producccion'!H33</f>
        <v>103020.67458</v>
      </c>
      <c r="E10" s="284" t="n">
        <f aca="false">D10/'Cuenta Capital'!$D$10</f>
        <v>226.917785418502</v>
      </c>
      <c r="F10" s="285" t="n">
        <f aca="false">D10/$F$29</f>
        <v>4.32859977226891</v>
      </c>
      <c r="G10" s="2"/>
      <c r="H10" s="2"/>
      <c r="I10" s="279"/>
    </row>
    <row r="11" customFormat="false" ht="15.75" hidden="false" customHeight="false" outlineLevel="0" collapsed="false">
      <c r="B11" s="286" t="s">
        <v>247</v>
      </c>
      <c r="C11" s="286"/>
      <c r="D11" s="287" t="n">
        <f aca="false">SUM(D7:D10)</f>
        <v>1626494.64858</v>
      </c>
      <c r="E11" s="287" t="n">
        <f aca="false">D11/'Cuenta Capital'!$D$10</f>
        <v>3582.58733167401</v>
      </c>
      <c r="F11" s="288" t="n">
        <f aca="false">SUM(F7:F10)</f>
        <v>68.3401112848739</v>
      </c>
      <c r="G11" s="2"/>
      <c r="H11" s="2"/>
      <c r="I11" s="279"/>
    </row>
    <row r="12" customFormat="false" ht="15.75" hidden="false" customHeight="false" outlineLevel="0" collapsed="false">
      <c r="B12" s="278"/>
      <c r="C12" s="2"/>
      <c r="D12" s="289"/>
      <c r="E12" s="289"/>
      <c r="F12" s="37"/>
      <c r="G12" s="2"/>
      <c r="H12" s="2"/>
      <c r="I12" s="279"/>
    </row>
    <row r="13" customFormat="false" ht="15" hidden="false" customHeight="false" outlineLevel="0" collapsed="false">
      <c r="B13" s="290" t="s">
        <v>248</v>
      </c>
      <c r="C13" s="290"/>
      <c r="D13" s="291" t="n">
        <f aca="false">'Costo de Producccion'!C42</f>
        <v>738022.303</v>
      </c>
      <c r="E13" s="291" t="n">
        <f aca="false">D13/'Cuenta Capital'!$D$10</f>
        <v>1625.59978634361</v>
      </c>
      <c r="F13" s="292" t="n">
        <f aca="false">'Costo de Producccion'!E42</f>
        <v>0</v>
      </c>
      <c r="G13" s="2"/>
      <c r="H13" s="2"/>
      <c r="I13" s="279"/>
    </row>
    <row r="14" customFormat="false" ht="15" hidden="false" customHeight="false" outlineLevel="0" collapsed="false">
      <c r="B14" s="283" t="s">
        <v>249</v>
      </c>
      <c r="C14" s="283"/>
      <c r="D14" s="284" t="n">
        <f aca="false">'Costo de Producccion'!C43</f>
        <v>978988.94</v>
      </c>
      <c r="E14" s="284" t="n">
        <f aca="false">D14/'Cuenta Capital'!$D$10</f>
        <v>2156.36330396476</v>
      </c>
      <c r="F14" s="285" t="n">
        <f aca="false">'Costo de Producccion'!E43</f>
        <v>0</v>
      </c>
      <c r="G14" s="2"/>
      <c r="H14" s="2"/>
      <c r="I14" s="279"/>
    </row>
    <row r="15" customFormat="false" ht="15" hidden="false" customHeight="false" outlineLevel="0" collapsed="false">
      <c r="B15" s="293" t="s">
        <v>250</v>
      </c>
      <c r="C15" s="293"/>
      <c r="D15" s="284" t="n">
        <f aca="false">SUM(D13:D14)</f>
        <v>1717011.243</v>
      </c>
      <c r="E15" s="284" t="n">
        <f aca="false">D15/'Cuenta Capital'!$D$10</f>
        <v>3781.96309030837</v>
      </c>
      <c r="F15" s="285" t="n">
        <f aca="false">SUM(F13:F14)</f>
        <v>0</v>
      </c>
      <c r="G15" s="2"/>
      <c r="H15" s="2"/>
      <c r="I15" s="279"/>
    </row>
    <row r="16" customFormat="false" ht="15.75" hidden="false" customHeight="false" outlineLevel="0" collapsed="false">
      <c r="B16" s="286" t="s">
        <v>251</v>
      </c>
      <c r="C16" s="286"/>
      <c r="D16" s="287" t="n">
        <f aca="false">'Costo de Producccion'!C45</f>
        <v>713166.836666667</v>
      </c>
      <c r="E16" s="287" t="n">
        <f aca="false">D16/'Cuenta Capital'!$D$10</f>
        <v>1570.85206314244</v>
      </c>
      <c r="F16" s="288" t="n">
        <f aca="false">'Costo de Producccion'!E45</f>
        <v>0</v>
      </c>
      <c r="G16" s="2"/>
      <c r="H16" s="2"/>
      <c r="I16" s="279"/>
    </row>
    <row r="17" customFormat="false" ht="15.75" hidden="false" customHeight="false" outlineLevel="0" collapsed="false">
      <c r="B17" s="278"/>
      <c r="C17" s="2"/>
      <c r="D17" s="2"/>
      <c r="E17" s="2"/>
      <c r="F17" s="2"/>
      <c r="G17" s="2"/>
      <c r="H17" s="2"/>
      <c r="I17" s="279"/>
    </row>
    <row r="18" customFormat="false" ht="15" hidden="false" customHeight="false" outlineLevel="0" collapsed="false">
      <c r="B18" s="294" t="s">
        <v>252</v>
      </c>
      <c r="C18" s="295"/>
      <c r="D18" s="291" t="n">
        <f aca="false">SUM(D15:D16)</f>
        <v>2430178.07966667</v>
      </c>
      <c r="E18" s="291" t="n">
        <f aca="false">SUM(E15:E16)</f>
        <v>5352.81515345081</v>
      </c>
      <c r="F18" s="291" t="n">
        <f aca="false">SUM(F15:F16)</f>
        <v>0</v>
      </c>
      <c r="G18" s="2"/>
      <c r="H18" s="2"/>
      <c r="I18" s="279"/>
    </row>
    <row r="19" customFormat="false" ht="15.75" hidden="false" customHeight="false" outlineLevel="0" collapsed="false">
      <c r="B19" s="296" t="s">
        <v>253</v>
      </c>
      <c r="C19" s="297"/>
      <c r="D19" s="287" t="n">
        <f aca="false">SUM(D15:D16,D11)</f>
        <v>4056672.72824667</v>
      </c>
      <c r="E19" s="287" t="n">
        <f aca="false">SUM(E15:E16,E11)</f>
        <v>8935.40248512482</v>
      </c>
      <c r="F19" s="287" t="n">
        <f aca="false">SUM(F15:F16,F11)</f>
        <v>68.3401112848739</v>
      </c>
      <c r="G19" s="27"/>
      <c r="H19" s="27"/>
      <c r="I19" s="298"/>
    </row>
    <row r="20" customFormat="false" ht="15.75" hidden="false" customHeight="false" outlineLevel="0" collapsed="false"/>
    <row r="21" customFormat="false" ht="16.5" hidden="false" customHeight="false" outlineLevel="0" collapsed="false">
      <c r="B21" s="299" t="s">
        <v>254</v>
      </c>
      <c r="C21" s="299"/>
      <c r="D21" s="299"/>
      <c r="E21" s="299"/>
      <c r="F21" s="299"/>
      <c r="G21" s="299"/>
      <c r="H21" s="299"/>
      <c r="I21" s="299"/>
    </row>
    <row r="22" customFormat="false" ht="15.75" hidden="false" customHeight="false" outlineLevel="0" collapsed="false"/>
    <row r="23" customFormat="false" ht="60" hidden="false" customHeight="false" outlineLevel="0" collapsed="false">
      <c r="B23" s="300" t="s">
        <v>255</v>
      </c>
      <c r="C23" s="300"/>
      <c r="D23" s="301" t="s">
        <v>256</v>
      </c>
      <c r="E23" s="301" t="s">
        <v>257</v>
      </c>
      <c r="F23" s="301" t="s">
        <v>258</v>
      </c>
      <c r="G23" s="302" t="s">
        <v>259</v>
      </c>
      <c r="H23" s="301" t="s">
        <v>260</v>
      </c>
      <c r="I23" s="303" t="s">
        <v>261</v>
      </c>
    </row>
    <row r="24" customFormat="false" ht="15" hidden="false" customHeight="false" outlineLevel="0" collapsed="false">
      <c r="B24" s="300"/>
      <c r="C24" s="300"/>
      <c r="D24" s="304" t="s">
        <v>262</v>
      </c>
      <c r="E24" s="304" t="s">
        <v>263</v>
      </c>
      <c r="F24" s="304" t="s">
        <v>264</v>
      </c>
      <c r="G24" s="304" t="s">
        <v>264</v>
      </c>
      <c r="H24" s="304" t="s">
        <v>265</v>
      </c>
      <c r="I24" s="305" t="s">
        <v>266</v>
      </c>
      <c r="K24" s="306"/>
      <c r="L24" s="306"/>
    </row>
    <row r="25" customFormat="false" ht="15" hidden="false" customHeight="false" outlineLevel="0" collapsed="false">
      <c r="B25" s="307" t="s">
        <v>8</v>
      </c>
      <c r="C25" s="307"/>
      <c r="D25" s="308" t="n">
        <f aca="false">'Composicion del Rodeo de Cria'!F18</f>
        <v>160</v>
      </c>
      <c r="E25" s="309" t="n">
        <f aca="false">'Composicion del Rodeo de Cria'!E19</f>
        <v>63</v>
      </c>
      <c r="F25" s="309" t="n">
        <f aca="false">D25*E25</f>
        <v>10080</v>
      </c>
      <c r="G25" s="309" t="n">
        <f aca="false">F25*0.97</f>
        <v>9777.6</v>
      </c>
      <c r="H25" s="309" t="n">
        <f aca="false">Precios!C50</f>
        <v>140</v>
      </c>
      <c r="I25" s="310" t="n">
        <f aca="false">G25*H25</f>
        <v>1368864</v>
      </c>
      <c r="K25" s="311"/>
      <c r="L25" s="53"/>
    </row>
    <row r="26" customFormat="false" ht="15" hidden="false" customHeight="false" outlineLevel="0" collapsed="false">
      <c r="B26" s="307" t="s">
        <v>7</v>
      </c>
      <c r="C26" s="307"/>
      <c r="D26" s="308" t="n">
        <f aca="false">'Composicion del Rodeo de Cria'!F19</f>
        <v>160</v>
      </c>
      <c r="E26" s="312" t="n">
        <f aca="false">'Composicion del Rodeo de Cria'!E18-'Composicion del Rodeo de Cria'!E21</f>
        <v>33</v>
      </c>
      <c r="F26" s="309" t="n">
        <f aca="false">D26*E26</f>
        <v>5280</v>
      </c>
      <c r="G26" s="309" t="n">
        <f aca="false">F26*0.97</f>
        <v>5121.6</v>
      </c>
      <c r="H26" s="309" t="n">
        <f aca="false">Precios!C51</f>
        <v>135</v>
      </c>
      <c r="I26" s="310" t="n">
        <f aca="false">G26*H26</f>
        <v>691416</v>
      </c>
      <c r="K26" s="311"/>
      <c r="L26" s="53"/>
    </row>
    <row r="27" customFormat="false" ht="15" hidden="false" customHeight="false" outlineLevel="0" collapsed="false">
      <c r="B27" s="307" t="s">
        <v>6</v>
      </c>
      <c r="C27" s="307"/>
      <c r="D27" s="308" t="n">
        <f aca="false">'Composicion del Rodeo de Cria'!F16</f>
        <v>400</v>
      </c>
      <c r="E27" s="308" t="n">
        <f aca="false">'Composicion del Rodeo de Cria'!E16*0.1</f>
        <v>20</v>
      </c>
      <c r="F27" s="309" t="n">
        <f aca="false">D27*E27</f>
        <v>8000</v>
      </c>
      <c r="G27" s="309" t="n">
        <f aca="false">F27*0.97</f>
        <v>7760</v>
      </c>
      <c r="H27" s="309" t="n">
        <f aca="false">Precios!C55</f>
        <v>65</v>
      </c>
      <c r="I27" s="310" t="n">
        <f aca="false">G27*H27</f>
        <v>504400</v>
      </c>
      <c r="K27" s="311"/>
      <c r="L27" s="53"/>
    </row>
    <row r="28" customFormat="false" ht="15" hidden="false" customHeight="false" outlineLevel="0" collapsed="false">
      <c r="B28" s="307" t="s">
        <v>12</v>
      </c>
      <c r="C28" s="307"/>
      <c r="D28" s="308" t="n">
        <f aca="false">'Composicion del Rodeo de Cria'!F22</f>
        <v>550</v>
      </c>
      <c r="E28" s="312" t="n">
        <f aca="false">'Composicion del Rodeo de Cria'!E22*0.1</f>
        <v>0.8</v>
      </c>
      <c r="F28" s="309" t="n">
        <f aca="false">D28*E28</f>
        <v>440</v>
      </c>
      <c r="G28" s="309" t="n">
        <f aca="false">F28*0.97</f>
        <v>426.8</v>
      </c>
      <c r="H28" s="309" t="n">
        <f aca="false">Precios!C56</f>
        <v>75</v>
      </c>
      <c r="I28" s="310" t="n">
        <f aca="false">G28*H28</f>
        <v>32010</v>
      </c>
      <c r="K28" s="311"/>
      <c r="L28" s="53"/>
    </row>
    <row r="29" customFormat="false" ht="15.75" hidden="false" customHeight="false" outlineLevel="0" collapsed="false">
      <c r="B29" s="313" t="s">
        <v>267</v>
      </c>
      <c r="C29" s="313"/>
      <c r="D29" s="314"/>
      <c r="E29" s="315" t="n">
        <f aca="false">SUM(E25:E28)</f>
        <v>116.8</v>
      </c>
      <c r="F29" s="316" t="n">
        <f aca="false">SUM(F25:F28)</f>
        <v>23800</v>
      </c>
      <c r="G29" s="316" t="n">
        <f aca="false">F29*0.97</f>
        <v>23086</v>
      </c>
      <c r="H29" s="314"/>
      <c r="I29" s="317" t="n">
        <f aca="false">SUM(I25:I28)</f>
        <v>2596690</v>
      </c>
      <c r="K29" s="2"/>
      <c r="L29" s="53"/>
    </row>
    <row r="30" customFormat="false" ht="15.75" hidden="false" customHeight="false" outlineLevel="0" collapsed="false"/>
    <row r="31" customFormat="false" ht="15" hidden="false" customHeight="false" outlineLevel="0" collapsed="false">
      <c r="B31" s="300" t="s">
        <v>268</v>
      </c>
      <c r="C31" s="300"/>
      <c r="D31" s="300"/>
      <c r="E31" s="300"/>
      <c r="F31" s="282" t="s">
        <v>132</v>
      </c>
    </row>
    <row r="32" customFormat="false" ht="15" hidden="false" customHeight="false" outlineLevel="0" collapsed="false">
      <c r="B32" s="318" t="s">
        <v>269</v>
      </c>
      <c r="C32" s="318"/>
      <c r="D32" s="318"/>
      <c r="E32" s="318"/>
      <c r="F32" s="319" t="n">
        <v>2000</v>
      </c>
    </row>
    <row r="33" customFormat="false" ht="15" hidden="false" customHeight="false" outlineLevel="0" collapsed="false">
      <c r="B33" s="318" t="s">
        <v>270</v>
      </c>
      <c r="C33" s="318"/>
      <c r="D33" s="318"/>
      <c r="E33" s="318"/>
      <c r="F33" s="319" t="n">
        <f aca="false">I29*0.03</f>
        <v>77900.7</v>
      </c>
      <c r="G33" s="320" t="s">
        <v>271</v>
      </c>
    </row>
    <row r="34" customFormat="false" ht="15.75" hidden="false" customHeight="false" outlineLevel="0" collapsed="false">
      <c r="B34" s="321" t="s">
        <v>272</v>
      </c>
      <c r="C34" s="321"/>
      <c r="D34" s="321"/>
      <c r="E34" s="321"/>
      <c r="F34" s="322" t="n">
        <f aca="false">I29-F32-F33</f>
        <v>2516789.3</v>
      </c>
      <c r="G34" s="320" t="s">
        <v>273</v>
      </c>
    </row>
    <row r="35" customFormat="false" ht="15.75" hidden="false" customHeight="false" outlineLevel="0" collapsed="false"/>
    <row r="36" customFormat="false" ht="15.75" hidden="false" customHeight="false" outlineLevel="0" collapsed="false">
      <c r="B36" s="323" t="s">
        <v>274</v>
      </c>
      <c r="C36" s="323"/>
      <c r="D36" s="323"/>
      <c r="E36" s="323"/>
      <c r="F36" s="323"/>
      <c r="G36" s="323"/>
      <c r="H36" s="323"/>
      <c r="I36" s="323"/>
    </row>
    <row r="37" customFormat="false" ht="15.75" hidden="false" customHeight="false" outlineLevel="0" collapsed="false">
      <c r="B37" s="278"/>
      <c r="C37" s="2"/>
      <c r="D37" s="2"/>
      <c r="E37" s="2"/>
      <c r="F37" s="2"/>
      <c r="G37" s="2"/>
      <c r="H37" s="2"/>
      <c r="I37" s="279"/>
    </row>
    <row r="38" customFormat="false" ht="15" hidden="false" customHeight="false" outlineLevel="0" collapsed="false">
      <c r="B38" s="324"/>
      <c r="C38" s="21"/>
      <c r="D38" s="281" t="s">
        <v>132</v>
      </c>
      <c r="E38" s="281" t="s">
        <v>25</v>
      </c>
      <c r="F38" s="282" t="s">
        <v>275</v>
      </c>
      <c r="G38" s="2"/>
      <c r="H38" s="2"/>
      <c r="I38" s="279"/>
    </row>
    <row r="39" customFormat="false" ht="15" hidden="false" customHeight="false" outlineLevel="0" collapsed="false">
      <c r="B39" s="325" t="s">
        <v>276</v>
      </c>
      <c r="C39" s="325"/>
      <c r="D39" s="284" t="n">
        <f aca="false">F34</f>
        <v>2516789.3</v>
      </c>
      <c r="E39" s="284" t="n">
        <f aca="false">D39/'Cuenta Capital'!$D$10</f>
        <v>5543.58876651982</v>
      </c>
      <c r="F39" s="326" t="n">
        <f aca="false">D39/$G$29</f>
        <v>109.017989257559</v>
      </c>
      <c r="G39" s="2"/>
      <c r="H39" s="2"/>
      <c r="I39" s="279"/>
    </row>
    <row r="40" customFormat="false" ht="15" hidden="false" customHeight="false" outlineLevel="0" collapsed="false">
      <c r="B40" s="327" t="s">
        <v>277</v>
      </c>
      <c r="C40" s="327"/>
      <c r="D40" s="284" t="n">
        <f aca="false">D13</f>
        <v>738022.303</v>
      </c>
      <c r="E40" s="284" t="n">
        <f aca="false">D40/'Cuenta Capital'!$D$10</f>
        <v>1625.59978634361</v>
      </c>
      <c r="F40" s="326" t="n">
        <f aca="false">D40/$G$29</f>
        <v>31.9683922290566</v>
      </c>
      <c r="G40" s="2"/>
      <c r="H40" s="2"/>
      <c r="I40" s="279"/>
    </row>
    <row r="41" customFormat="false" ht="15" hidden="false" customHeight="false" outlineLevel="0" collapsed="false">
      <c r="B41" s="327" t="s">
        <v>278</v>
      </c>
      <c r="C41" s="327"/>
      <c r="D41" s="284" t="n">
        <f aca="false">D39-D40</f>
        <v>1778766.997</v>
      </c>
      <c r="E41" s="284" t="n">
        <f aca="false">D41/'Cuenta Capital'!$D$10</f>
        <v>3917.98898017621</v>
      </c>
      <c r="F41" s="285" t="n">
        <f aca="false">F39-F40</f>
        <v>77.0495970285021</v>
      </c>
      <c r="G41" s="2"/>
      <c r="H41" s="328" t="s">
        <v>279</v>
      </c>
      <c r="I41" s="279"/>
    </row>
    <row r="42" customFormat="false" ht="15" hidden="false" customHeight="false" outlineLevel="0" collapsed="false">
      <c r="B42" s="327" t="s">
        <v>249</v>
      </c>
      <c r="C42" s="327"/>
      <c r="D42" s="284" t="n">
        <f aca="false">D14</f>
        <v>978988.94</v>
      </c>
      <c r="E42" s="284" t="n">
        <f aca="false">D42/'Cuenta Capital'!$D$10</f>
        <v>2156.36330396476</v>
      </c>
      <c r="F42" s="285" t="n">
        <f aca="false">D42/$G$29</f>
        <v>42.4061743047735</v>
      </c>
      <c r="G42" s="2"/>
      <c r="H42" s="2"/>
      <c r="I42" s="279"/>
    </row>
    <row r="43" customFormat="false" ht="15" hidden="false" customHeight="false" outlineLevel="0" collapsed="false">
      <c r="B43" s="327" t="s">
        <v>280</v>
      </c>
      <c r="C43" s="327"/>
      <c r="D43" s="284" t="n">
        <f aca="false">D41-D42</f>
        <v>799778.057</v>
      </c>
      <c r="E43" s="284" t="n">
        <f aca="false">D43/'Cuenta Capital'!$D$10</f>
        <v>1761.62567621145</v>
      </c>
      <c r="F43" s="285" t="n">
        <f aca="false">F41-F42</f>
        <v>34.6434227237287</v>
      </c>
      <c r="G43" s="2"/>
      <c r="H43" s="328" t="s">
        <v>281</v>
      </c>
      <c r="I43" s="279"/>
    </row>
    <row r="44" customFormat="false" ht="15" hidden="false" customHeight="false" outlineLevel="0" collapsed="false">
      <c r="B44" s="327" t="s">
        <v>282</v>
      </c>
      <c r="C44" s="327"/>
      <c r="D44" s="284" t="n">
        <f aca="false">D16</f>
        <v>713166.836666667</v>
      </c>
      <c r="E44" s="284" t="n">
        <f aca="false">D44/'Cuenta Capital'!$D$10</f>
        <v>1570.85206314244</v>
      </c>
      <c r="F44" s="285" t="n">
        <f aca="false">D44/$G$29</f>
        <v>30.8917455023246</v>
      </c>
      <c r="G44" s="2"/>
      <c r="H44" s="2"/>
      <c r="I44" s="279"/>
    </row>
    <row r="45" customFormat="false" ht="15" hidden="false" customHeight="false" outlineLevel="0" collapsed="false">
      <c r="B45" s="327" t="s">
        <v>283</v>
      </c>
      <c r="C45" s="327"/>
      <c r="D45" s="284" t="n">
        <f aca="false">D43-D44</f>
        <v>86611.2203333334</v>
      </c>
      <c r="E45" s="284" t="n">
        <f aca="false">D45/'Cuenta Capital'!$D$10</f>
        <v>190.773613069016</v>
      </c>
      <c r="F45" s="285" t="n">
        <f aca="false">F43-F44</f>
        <v>3.75167722140401</v>
      </c>
      <c r="G45" s="2"/>
      <c r="H45" s="37" t="s">
        <v>284</v>
      </c>
      <c r="I45" s="279"/>
    </row>
    <row r="46" customFormat="false" ht="15" hidden="false" customHeight="false" outlineLevel="0" collapsed="false">
      <c r="B46" s="327" t="s">
        <v>95</v>
      </c>
      <c r="C46" s="327"/>
      <c r="D46" s="284" t="n">
        <f aca="false">D11</f>
        <v>1626494.64858</v>
      </c>
      <c r="E46" s="284" t="n">
        <f aca="false">D46/'Cuenta Capital'!$D$10</f>
        <v>3582.58733167401</v>
      </c>
      <c r="F46" s="285" t="n">
        <f aca="false">D46/$G$29</f>
        <v>70.4537229740969</v>
      </c>
      <c r="G46" s="2"/>
      <c r="H46" s="2"/>
      <c r="I46" s="279"/>
    </row>
    <row r="47" customFormat="false" ht="15.75" hidden="false" customHeight="false" outlineLevel="0" collapsed="false">
      <c r="B47" s="329" t="s">
        <v>285</v>
      </c>
      <c r="C47" s="329"/>
      <c r="D47" s="287" t="n">
        <f aca="false">D45-D46</f>
        <v>-1539883.42824667</v>
      </c>
      <c r="E47" s="287" t="n">
        <f aca="false">D47/'Cuenta Capital'!$D$10</f>
        <v>-3391.81371860499</v>
      </c>
      <c r="F47" s="288" t="n">
        <f aca="false">F45-F46</f>
        <v>-66.7020457526928</v>
      </c>
      <c r="G47" s="2"/>
      <c r="H47" s="37" t="s">
        <v>286</v>
      </c>
      <c r="I47" s="279"/>
    </row>
    <row r="48" customFormat="false" ht="15.75" hidden="false" customHeight="false" outlineLevel="0" collapsed="false">
      <c r="B48" s="330"/>
      <c r="C48" s="33"/>
      <c r="D48" s="2"/>
      <c r="E48" s="2"/>
      <c r="F48" s="2"/>
      <c r="G48" s="2"/>
      <c r="H48" s="2"/>
      <c r="I48" s="279"/>
    </row>
    <row r="49" customFormat="false" ht="15" hidden="false" customHeight="false" outlineLevel="0" collapsed="false">
      <c r="B49" s="331"/>
      <c r="C49" s="332"/>
      <c r="D49" s="332"/>
      <c r="E49" s="282" t="s">
        <v>132</v>
      </c>
      <c r="F49" s="2"/>
      <c r="G49" s="2"/>
      <c r="H49" s="2"/>
      <c r="I49" s="279"/>
    </row>
    <row r="50" customFormat="false" ht="15" hidden="false" customHeight="false" outlineLevel="0" collapsed="false">
      <c r="B50" s="318" t="s">
        <v>283</v>
      </c>
      <c r="C50" s="318"/>
      <c r="D50" s="318"/>
      <c r="E50" s="326" t="n">
        <f aca="false">D45</f>
        <v>86611.2203333334</v>
      </c>
      <c r="F50" s="2"/>
      <c r="G50" s="2"/>
      <c r="H50" s="2"/>
      <c r="I50" s="279"/>
    </row>
    <row r="51" customFormat="false" ht="15" hidden="false" customHeight="false" outlineLevel="0" collapsed="false">
      <c r="B51" s="318" t="s">
        <v>287</v>
      </c>
      <c r="C51" s="318"/>
      <c r="D51" s="318"/>
      <c r="E51" s="333" t="n">
        <f aca="false">Scheafer!E42</f>
        <v>390000</v>
      </c>
      <c r="F51" s="2"/>
      <c r="G51" s="2"/>
      <c r="H51" s="2"/>
      <c r="I51" s="279"/>
    </row>
    <row r="52" customFormat="false" ht="15" hidden="false" customHeight="false" outlineLevel="0" collapsed="false">
      <c r="B52" s="318" t="s">
        <v>288</v>
      </c>
      <c r="C52" s="318"/>
      <c r="D52" s="318"/>
      <c r="E52" s="326" t="n">
        <f aca="false">E50-E51</f>
        <v>-303388.779666667</v>
      </c>
      <c r="F52" s="2"/>
      <c r="G52" s="2"/>
      <c r="H52" s="41" t="s">
        <v>289</v>
      </c>
      <c r="I52" s="279"/>
    </row>
    <row r="53" customFormat="false" ht="15" hidden="false" customHeight="false" outlineLevel="0" collapsed="false">
      <c r="B53" s="318" t="s">
        <v>290</v>
      </c>
      <c r="C53" s="318"/>
      <c r="D53" s="318"/>
      <c r="E53" s="333" t="n">
        <f aca="false">'Cuenta Capital'!F10+'Cuenta Capital'!F16+'Cuenta Capital'!L28+'Cuenta Capital'!L38+'Cuenta Capital'!L49+('Costo de Producccion'!C33/2)</f>
        <v>24264532.7531667</v>
      </c>
      <c r="F53" s="334" t="s">
        <v>291</v>
      </c>
      <c r="G53" s="2"/>
      <c r="H53" s="41"/>
      <c r="I53" s="279"/>
    </row>
    <row r="54" customFormat="false" ht="15.75" hidden="false" customHeight="false" outlineLevel="0" collapsed="false">
      <c r="B54" s="321" t="s">
        <v>292</v>
      </c>
      <c r="C54" s="321"/>
      <c r="D54" s="321"/>
      <c r="E54" s="335" t="n">
        <f aca="false">(E52/E53)*100</f>
        <v>-1.25033843739304</v>
      </c>
      <c r="F54" s="27"/>
      <c r="G54" s="27"/>
      <c r="H54" s="336" t="s">
        <v>293</v>
      </c>
      <c r="I54" s="298"/>
    </row>
  </sheetData>
  <mergeCells count="38">
    <mergeCell ref="B3:I3"/>
    <mergeCell ref="B4:I4"/>
    <mergeCell ref="B6:C6"/>
    <mergeCell ref="B7:C7"/>
    <mergeCell ref="B8:C8"/>
    <mergeCell ref="B9:C9"/>
    <mergeCell ref="B10:C10"/>
    <mergeCell ref="B11:C11"/>
    <mergeCell ref="B13:C13"/>
    <mergeCell ref="B14:C14"/>
    <mergeCell ref="B15:C15"/>
    <mergeCell ref="B16:C16"/>
    <mergeCell ref="B21:I21"/>
    <mergeCell ref="B23:C24"/>
    <mergeCell ref="B25:C25"/>
    <mergeCell ref="B26:C26"/>
    <mergeCell ref="B27:C27"/>
    <mergeCell ref="B28:C28"/>
    <mergeCell ref="B29:C29"/>
    <mergeCell ref="B31:E31"/>
    <mergeCell ref="B32:E32"/>
    <mergeCell ref="B33:E33"/>
    <mergeCell ref="B34:E34"/>
    <mergeCell ref="B36:I36"/>
    <mergeCell ref="B39:C39"/>
    <mergeCell ref="B40:C40"/>
    <mergeCell ref="B41:C41"/>
    <mergeCell ref="B42:C42"/>
    <mergeCell ref="B43:C43"/>
    <mergeCell ref="B44:C44"/>
    <mergeCell ref="B45:C45"/>
    <mergeCell ref="B46:C46"/>
    <mergeCell ref="B47:C47"/>
    <mergeCell ref="B50:D50"/>
    <mergeCell ref="B51:D51"/>
    <mergeCell ref="B52:D52"/>
    <mergeCell ref="B53:D53"/>
    <mergeCell ref="B54:D54"/>
  </mergeCells>
  <printOptions headings="false" gridLines="false" gridLinesSet="true" horizontalCentered="false" verticalCentered="false"/>
  <pageMargins left="0.236111111111111" right="0" top="0.196527777777778"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B3:H56"/>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A14" activeCellId="0" sqref="A14"/>
    </sheetView>
  </sheetViews>
  <sheetFormatPr defaultRowHeight="15" zeroHeight="false" outlineLevelRow="0" outlineLevelCol="0"/>
  <cols>
    <col collapsed="false" customWidth="false" hidden="false" outlineLevel="0" max="3" min="1" style="1" width="11.42"/>
    <col collapsed="false" customWidth="true" hidden="false" outlineLevel="0" max="4" min="4" style="1" width="19.14"/>
    <col collapsed="false" customWidth="true" hidden="false" outlineLevel="0" max="5" min="5" style="1" width="12.57"/>
    <col collapsed="false" customWidth="true" hidden="false" outlineLevel="0" max="6" min="6" style="1" width="15"/>
    <col collapsed="false" customWidth="false" hidden="false" outlineLevel="0" max="1025" min="7" style="1" width="11.42"/>
  </cols>
  <sheetData>
    <row r="3" customFormat="false" ht="15.75" hidden="false" customHeight="false" outlineLevel="0" collapsed="false">
      <c r="B3" s="337" t="s">
        <v>294</v>
      </c>
      <c r="C3" s="337"/>
      <c r="D3" s="337"/>
      <c r="E3" s="337"/>
      <c r="F3" s="337"/>
      <c r="G3" s="337"/>
      <c r="H3" s="337"/>
    </row>
    <row r="4" customFormat="false" ht="15" hidden="false" customHeight="false" outlineLevel="0" collapsed="false">
      <c r="B4" s="338" t="s">
        <v>295</v>
      </c>
      <c r="C4" s="338"/>
      <c r="D4" s="338"/>
      <c r="E4" s="338"/>
    </row>
    <row r="5" customFormat="false" ht="15" hidden="false" customHeight="false" outlineLevel="0" collapsed="false">
      <c r="B5" s="339" t="s">
        <v>296</v>
      </c>
      <c r="C5" s="339"/>
      <c r="D5" s="339"/>
      <c r="E5" s="333" t="n">
        <f aca="false">SUM(E6:E7)</f>
        <v>2516789.3</v>
      </c>
    </row>
    <row r="6" customFormat="false" ht="15" hidden="false" customHeight="false" outlineLevel="0" collapsed="false">
      <c r="B6" s="283" t="s">
        <v>297</v>
      </c>
      <c r="C6" s="283"/>
      <c r="D6" s="283"/>
      <c r="E6" s="340" t="n">
        <f aca="false">Guerra!F34</f>
        <v>2516789.3</v>
      </c>
    </row>
    <row r="7" customFormat="false" ht="15.75" hidden="false" customHeight="false" outlineLevel="0" collapsed="false">
      <c r="B7" s="341" t="s">
        <v>298</v>
      </c>
      <c r="C7" s="341"/>
      <c r="D7" s="341"/>
      <c r="E7" s="317" t="s">
        <v>299</v>
      </c>
    </row>
    <row r="9" customFormat="false" ht="15" hidden="false" customHeight="false" outlineLevel="0" collapsed="false">
      <c r="B9" s="304" t="s">
        <v>300</v>
      </c>
      <c r="C9" s="304"/>
      <c r="D9" s="342" t="n">
        <f aca="false">D10-D11</f>
        <v>2330189.3</v>
      </c>
      <c r="E9" s="1" t="s">
        <v>301</v>
      </c>
    </row>
    <row r="10" customFormat="false" ht="15" hidden="false" customHeight="false" outlineLevel="0" collapsed="false">
      <c r="B10" s="343" t="s">
        <v>302</v>
      </c>
      <c r="C10" s="343"/>
      <c r="D10" s="342" t="n">
        <f aca="false">E5</f>
        <v>2516789.3</v>
      </c>
    </row>
    <row r="11" customFormat="false" ht="15" hidden="false" customHeight="false" outlineLevel="0" collapsed="false">
      <c r="B11" s="343" t="s">
        <v>303</v>
      </c>
      <c r="C11" s="343"/>
      <c r="D11" s="342" t="n">
        <f aca="false">D12</f>
        <v>186600</v>
      </c>
      <c r="E11" s="1" t="s">
        <v>304</v>
      </c>
    </row>
    <row r="12" customFormat="false" ht="15" hidden="false" customHeight="false" outlineLevel="0" collapsed="false">
      <c r="B12" s="343" t="s">
        <v>305</v>
      </c>
      <c r="C12" s="343"/>
      <c r="D12" s="342" t="n">
        <f aca="false">'Gastos Directos Forrajes'!O19*'Cuenta Capital'!D7</f>
        <v>186600</v>
      </c>
    </row>
    <row r="14" customFormat="false" ht="15" hidden="false" customHeight="false" outlineLevel="0" collapsed="false">
      <c r="B14" s="309" t="s">
        <v>306</v>
      </c>
      <c r="C14" s="309"/>
      <c r="D14" s="309"/>
      <c r="E14" s="342" t="n">
        <f aca="false">'Cuenta Capital'!D10</f>
        <v>454</v>
      </c>
    </row>
    <row r="16" customFormat="false" ht="15" hidden="false" customHeight="false" outlineLevel="0" collapsed="false">
      <c r="B16" s="344" t="s">
        <v>307</v>
      </c>
      <c r="C16" s="344"/>
      <c r="D16" s="344"/>
      <c r="E16" s="345" t="n">
        <f aca="false">D9/E14</f>
        <v>5132.57555066079</v>
      </c>
      <c r="F16" s="320" t="s">
        <v>308</v>
      </c>
    </row>
    <row r="17" customFormat="false" ht="15.75" hidden="false" customHeight="false" outlineLevel="0" collapsed="false"/>
    <row r="18" customFormat="false" ht="15" hidden="false" customHeight="false" outlineLevel="0" collapsed="false">
      <c r="B18" s="346" t="s">
        <v>309</v>
      </c>
      <c r="C18" s="346"/>
      <c r="D18" s="346"/>
      <c r="E18" s="346"/>
      <c r="F18" s="346"/>
    </row>
    <row r="19" customFormat="false" ht="15" hidden="false" customHeight="false" outlineLevel="0" collapsed="false">
      <c r="B19" s="278"/>
      <c r="C19" s="2"/>
      <c r="D19" s="2"/>
      <c r="E19" s="2"/>
      <c r="F19" s="279"/>
    </row>
    <row r="20" customFormat="false" ht="15" hidden="false" customHeight="false" outlineLevel="0" collapsed="false">
      <c r="B20" s="347" t="s">
        <v>310</v>
      </c>
      <c r="C20" s="347"/>
      <c r="D20" s="347"/>
      <c r="E20" s="347"/>
      <c r="F20" s="348" t="n">
        <f aca="false">'Costo de Producccion'!C42-Scheafer!F25-Scheafer!D12</f>
        <v>497866.203</v>
      </c>
    </row>
    <row r="21" customFormat="false" ht="15" hidden="false" customHeight="false" outlineLevel="0" collapsed="false">
      <c r="B21" s="347" t="s">
        <v>311</v>
      </c>
      <c r="C21" s="347"/>
      <c r="D21" s="347"/>
      <c r="E21" s="347"/>
      <c r="F21" s="348" t="n">
        <f aca="false">SUM('Costo de Producccion'!E5:E10)</f>
        <v>359334.74</v>
      </c>
    </row>
    <row r="22" customFormat="false" ht="15" hidden="false" customHeight="false" outlineLevel="0" collapsed="false">
      <c r="B22" s="349" t="s">
        <v>312</v>
      </c>
      <c r="C22" s="349"/>
      <c r="D22" s="349"/>
      <c r="E22" s="349"/>
      <c r="F22" s="348" t="n">
        <f aca="false">F20+F21</f>
        <v>857200.943</v>
      </c>
    </row>
    <row r="23" customFormat="false" ht="15" hidden="false" customHeight="false" outlineLevel="0" collapsed="false">
      <c r="B23" s="349" t="s">
        <v>282</v>
      </c>
      <c r="C23" s="349"/>
      <c r="D23" s="349"/>
      <c r="E23" s="349"/>
      <c r="F23" s="348" t="n">
        <f aca="false">'Costo de Producccion'!C45</f>
        <v>713166.836666667</v>
      </c>
    </row>
    <row r="24" customFormat="false" ht="15" hidden="false" customHeight="false" outlineLevel="0" collapsed="false">
      <c r="B24" s="349" t="s">
        <v>95</v>
      </c>
      <c r="C24" s="349"/>
      <c r="D24" s="349"/>
      <c r="E24" s="349"/>
      <c r="F24" s="348" t="n">
        <f aca="false">'Costo de Producccion'!C41</f>
        <v>1643244.64858</v>
      </c>
    </row>
    <row r="25" customFormat="false" ht="15" hidden="false" customHeight="false" outlineLevel="0" collapsed="false">
      <c r="B25" s="347" t="s">
        <v>313</v>
      </c>
      <c r="C25" s="347"/>
      <c r="D25" s="347"/>
      <c r="E25" s="347"/>
      <c r="F25" s="350" t="n">
        <f aca="false">'Gastos Directos -Sanidad'!G37+'Gastos Directos Forrajes'!M18*'Cuenta Capital'!D7+'Gastos Directos Forrajes'!G6*'Cuenta Capital'!D6</f>
        <v>53556.1</v>
      </c>
    </row>
    <row r="26" customFormat="false" ht="15" hidden="false" customHeight="false" outlineLevel="0" collapsed="false">
      <c r="B26" s="347" t="s">
        <v>314</v>
      </c>
      <c r="C26" s="347"/>
      <c r="D26" s="347"/>
      <c r="E26" s="347"/>
      <c r="F26" s="348" t="n">
        <f aca="false">'Costo de Producccion'!E11</f>
        <v>617154.2</v>
      </c>
    </row>
    <row r="27" customFormat="false" ht="15" hidden="false" customHeight="false" outlineLevel="0" collapsed="false">
      <c r="B27" s="347" t="s">
        <v>315</v>
      </c>
      <c r="C27" s="347"/>
      <c r="D27" s="347"/>
      <c r="E27" s="347"/>
      <c r="F27" s="348" t="n">
        <v>390000</v>
      </c>
    </row>
    <row r="28" customFormat="false" ht="15.75" hidden="false" customHeight="false" outlineLevel="0" collapsed="false">
      <c r="B28" s="351" t="s">
        <v>316</v>
      </c>
      <c r="C28" s="351"/>
      <c r="D28" s="351"/>
      <c r="E28" s="351"/>
      <c r="F28" s="352" t="n">
        <f aca="false">SUM(F22:F27)</f>
        <v>4274322.72824667</v>
      </c>
    </row>
    <row r="30" customFormat="false" ht="15" hidden="false" customHeight="false" outlineLevel="0" collapsed="false">
      <c r="B30" s="304" t="s">
        <v>317</v>
      </c>
      <c r="C30" s="304"/>
      <c r="D30" s="304"/>
    </row>
    <row r="31" customFormat="false" ht="15" hidden="false" customHeight="false" outlineLevel="0" collapsed="false">
      <c r="B31" s="343" t="s">
        <v>318</v>
      </c>
      <c r="C31" s="343"/>
      <c r="D31" s="284" t="n">
        <f aca="false">D9</f>
        <v>2330189.3</v>
      </c>
    </row>
    <row r="32" customFormat="false" ht="15" hidden="false" customHeight="false" outlineLevel="0" collapsed="false">
      <c r="B32" s="343" t="s">
        <v>282</v>
      </c>
      <c r="C32" s="343"/>
      <c r="D32" s="284" t="n">
        <f aca="false">F23</f>
        <v>713166.836666667</v>
      </c>
    </row>
    <row r="33" customFormat="false" ht="15" hidden="false" customHeight="false" outlineLevel="0" collapsed="false">
      <c r="B33" s="343" t="s">
        <v>319</v>
      </c>
      <c r="C33" s="343"/>
      <c r="D33" s="284" t="n">
        <f aca="false">F22</f>
        <v>857200.943</v>
      </c>
    </row>
    <row r="34" customFormat="false" ht="15" hidden="false" customHeight="false" outlineLevel="0" collapsed="false">
      <c r="B34" s="304" t="s">
        <v>317</v>
      </c>
      <c r="C34" s="304"/>
      <c r="D34" s="284" t="n">
        <f aca="false">D31-D32-D33</f>
        <v>759821.520333333</v>
      </c>
      <c r="E34" s="320" t="s">
        <v>320</v>
      </c>
    </row>
    <row r="36" customFormat="false" ht="15" hidden="false" customHeight="false" outlineLevel="0" collapsed="false">
      <c r="B36" s="304" t="s">
        <v>321</v>
      </c>
      <c r="C36" s="304"/>
      <c r="D36" s="345" t="n">
        <f aca="false">D34/E14</f>
        <v>1673.6156835536</v>
      </c>
      <c r="E36" s="320" t="s">
        <v>322</v>
      </c>
    </row>
    <row r="37" customFormat="false" ht="15.75" hidden="false" customHeight="false" outlineLevel="0" collapsed="false"/>
    <row r="38" customFormat="false" ht="15" hidden="false" customHeight="false" outlineLevel="0" collapsed="false">
      <c r="B38" s="346" t="s">
        <v>323</v>
      </c>
      <c r="C38" s="346"/>
      <c r="D38" s="346"/>
      <c r="E38" s="346"/>
      <c r="F38" s="346"/>
      <c r="G38" s="346"/>
    </row>
    <row r="39" customFormat="false" ht="15" hidden="false" customHeight="false" outlineLevel="0" collapsed="false">
      <c r="B39" s="278"/>
      <c r="C39" s="2"/>
      <c r="D39" s="2"/>
      <c r="E39" s="2"/>
      <c r="F39" s="353" t="s">
        <v>324</v>
      </c>
      <c r="G39" s="353"/>
    </row>
    <row r="40" customFormat="false" ht="15" hidden="false" customHeight="false" outlineLevel="0" collapsed="false">
      <c r="B40" s="283" t="s">
        <v>313</v>
      </c>
      <c r="C40" s="283"/>
      <c r="D40" s="283"/>
      <c r="E40" s="284" t="n">
        <f aca="false">F25</f>
        <v>53556.1</v>
      </c>
      <c r="F40" s="354" t="n">
        <f aca="false">'Gastos Directos Forrajes'!L20*2*'Cuenta Capital'!D7+0.1+'Cuenta Capital'!D6*'Gastos Directos Forrajes'!F8</f>
        <v>31.35</v>
      </c>
      <c r="G40" s="354"/>
    </row>
    <row r="41" customFormat="false" ht="15" hidden="false" customHeight="false" outlineLevel="0" collapsed="false">
      <c r="B41" s="283" t="s">
        <v>314</v>
      </c>
      <c r="C41" s="283"/>
      <c r="D41" s="283"/>
      <c r="E41" s="284" t="n">
        <f aca="false">F26</f>
        <v>617154.2</v>
      </c>
      <c r="F41" s="355" t="n">
        <v>300</v>
      </c>
      <c r="G41" s="355"/>
    </row>
    <row r="42" customFormat="false" ht="15" hidden="false" customHeight="false" outlineLevel="0" collapsed="false">
      <c r="B42" s="283" t="s">
        <v>315</v>
      </c>
      <c r="C42" s="283"/>
      <c r="D42" s="283"/>
      <c r="E42" s="284" t="n">
        <f aca="false">F27</f>
        <v>390000</v>
      </c>
      <c r="F42" s="355" t="n">
        <v>300</v>
      </c>
      <c r="G42" s="355"/>
    </row>
    <row r="43" customFormat="false" ht="15" hidden="false" customHeight="false" outlineLevel="0" collapsed="false">
      <c r="B43" s="318" t="s">
        <v>202</v>
      </c>
      <c r="C43" s="318"/>
      <c r="D43" s="318"/>
      <c r="E43" s="284" t="n">
        <f aca="false">SUM(E40:E42)</f>
        <v>1060710.3</v>
      </c>
      <c r="F43" s="355" t="n">
        <f aca="false">SUM(F40:G42)</f>
        <v>631.35</v>
      </c>
      <c r="G43" s="355"/>
    </row>
    <row r="44" customFormat="false" ht="15.75" hidden="false" customHeight="false" outlineLevel="0" collapsed="false">
      <c r="B44" s="321" t="s">
        <v>325</v>
      </c>
      <c r="C44" s="321"/>
      <c r="D44" s="321"/>
      <c r="E44" s="356"/>
      <c r="F44" s="335" t="n">
        <f aca="false">F43/300</f>
        <v>2.1045</v>
      </c>
      <c r="G44" s="335"/>
    </row>
    <row r="46" customFormat="false" ht="15" hidden="false" customHeight="false" outlineLevel="0" collapsed="false">
      <c r="B46" s="357" t="s">
        <v>326</v>
      </c>
      <c r="C46" s="357"/>
      <c r="D46" s="357"/>
      <c r="E46" s="358" t="n">
        <f aca="false">D9/F44</f>
        <v>1107241.29246852</v>
      </c>
      <c r="F46" s="320" t="s">
        <v>327</v>
      </c>
    </row>
    <row r="48" customFormat="false" ht="15" hidden="false" customHeight="false" outlineLevel="0" collapsed="false">
      <c r="B48" s="344" t="s">
        <v>328</v>
      </c>
      <c r="C48" s="344"/>
      <c r="D48" s="344"/>
      <c r="E48" s="358" t="n">
        <f aca="false">D34/F44</f>
        <v>361046.10137008</v>
      </c>
      <c r="F48" s="320" t="s">
        <v>329</v>
      </c>
    </row>
    <row r="49" customFormat="false" ht="15.75" hidden="false" customHeight="false" outlineLevel="0" collapsed="false"/>
    <row r="50" customFormat="false" ht="15" hidden="false" customHeight="false" outlineLevel="0" collapsed="false">
      <c r="B50" s="346" t="s">
        <v>330</v>
      </c>
      <c r="C50" s="346"/>
      <c r="D50" s="346"/>
      <c r="E50" s="346"/>
      <c r="F50" s="346"/>
      <c r="G50" s="346"/>
      <c r="H50" s="346"/>
    </row>
    <row r="51" customFormat="false" ht="15" hidden="false" customHeight="true" outlineLevel="0" collapsed="false">
      <c r="B51" s="318" t="s">
        <v>331</v>
      </c>
      <c r="C51" s="318"/>
      <c r="D51" s="318"/>
      <c r="E51" s="318"/>
      <c r="F51" s="359" t="n">
        <f aca="false">D34-SUM(F25:F27)</f>
        <v>-300888.779666667</v>
      </c>
      <c r="G51" s="2"/>
      <c r="H51" s="279"/>
    </row>
    <row r="52" customFormat="false" ht="15" hidden="false" customHeight="false" outlineLevel="0" collapsed="false">
      <c r="B52" s="318" t="s">
        <v>332</v>
      </c>
      <c r="C52" s="318"/>
      <c r="D52" s="318"/>
      <c r="E52" s="318"/>
      <c r="F52" s="359" t="n">
        <f aca="false">'Cuenta Capital'!F10+'Cuenta Capital'!F16+'Cuenta Capital'!L28+'Cuenta Capital'!L38+'Cuenta Capital'!L49+('Costo de Producccion'!C33/2)</f>
        <v>24264532.7531667</v>
      </c>
      <c r="G52" s="2"/>
      <c r="H52" s="279"/>
    </row>
    <row r="53" customFormat="false" ht="15" hidden="false" customHeight="false" outlineLevel="0" collapsed="false">
      <c r="B53" s="318" t="s">
        <v>333</v>
      </c>
      <c r="C53" s="318"/>
      <c r="D53" s="318"/>
      <c r="E53" s="318"/>
      <c r="F53" s="345" t="n">
        <f aca="false">(F51/F52)*100</f>
        <v>-1.24003533357715</v>
      </c>
      <c r="G53" s="2"/>
      <c r="H53" s="279"/>
    </row>
    <row r="54" customFormat="false" ht="15" hidden="false" customHeight="true" outlineLevel="0" collapsed="false">
      <c r="B54" s="360" t="s">
        <v>334</v>
      </c>
      <c r="C54" s="360"/>
      <c r="D54" s="360"/>
      <c r="E54" s="360"/>
      <c r="F54" s="360"/>
      <c r="G54" s="360"/>
      <c r="H54" s="360"/>
    </row>
    <row r="55" customFormat="false" ht="15" hidden="false" customHeight="false" outlineLevel="0" collapsed="false">
      <c r="B55" s="361" t="s">
        <v>291</v>
      </c>
      <c r="C55" s="361"/>
      <c r="D55" s="361"/>
      <c r="E55" s="361"/>
      <c r="F55" s="361"/>
      <c r="G55" s="361"/>
      <c r="H55" s="361"/>
    </row>
    <row r="56" customFormat="false" ht="15.75" hidden="false" customHeight="false" outlineLevel="0" collapsed="false">
      <c r="B56" s="362" t="s">
        <v>335</v>
      </c>
      <c r="C56" s="362"/>
      <c r="D56" s="362"/>
      <c r="E56" s="362"/>
      <c r="F56" s="362"/>
      <c r="G56" s="362"/>
      <c r="H56" s="362"/>
    </row>
  </sheetData>
  <mergeCells count="48">
    <mergeCell ref="B3:H3"/>
    <mergeCell ref="B4:E4"/>
    <mergeCell ref="B5:D5"/>
    <mergeCell ref="B6:D6"/>
    <mergeCell ref="B7:D7"/>
    <mergeCell ref="B9:C9"/>
    <mergeCell ref="B10:C10"/>
    <mergeCell ref="B11:C11"/>
    <mergeCell ref="B12:C12"/>
    <mergeCell ref="B14:D14"/>
    <mergeCell ref="B16:D16"/>
    <mergeCell ref="B18:F18"/>
    <mergeCell ref="B20:E20"/>
    <mergeCell ref="B21:E21"/>
    <mergeCell ref="B22:E22"/>
    <mergeCell ref="B23:E23"/>
    <mergeCell ref="B24:E24"/>
    <mergeCell ref="B25:E25"/>
    <mergeCell ref="B26:E26"/>
    <mergeCell ref="B27:E27"/>
    <mergeCell ref="B28:E28"/>
    <mergeCell ref="B30:D30"/>
    <mergeCell ref="B31:C31"/>
    <mergeCell ref="B32:C32"/>
    <mergeCell ref="B33:C33"/>
    <mergeCell ref="B34:C34"/>
    <mergeCell ref="B36:C36"/>
    <mergeCell ref="B38:G38"/>
    <mergeCell ref="F39:G39"/>
    <mergeCell ref="B40:D40"/>
    <mergeCell ref="F40:G40"/>
    <mergeCell ref="B41:D41"/>
    <mergeCell ref="F41:G41"/>
    <mergeCell ref="B42:D42"/>
    <mergeCell ref="F42:G42"/>
    <mergeCell ref="B43:D43"/>
    <mergeCell ref="F43:G43"/>
    <mergeCell ref="B44:D44"/>
    <mergeCell ref="F44:G44"/>
    <mergeCell ref="B46:D46"/>
    <mergeCell ref="B48:D48"/>
    <mergeCell ref="B50:H50"/>
    <mergeCell ref="B51:E51"/>
    <mergeCell ref="B52:E52"/>
    <mergeCell ref="B53:E53"/>
    <mergeCell ref="B54:H54"/>
    <mergeCell ref="B55:H55"/>
    <mergeCell ref="B56:H56"/>
  </mergeCells>
  <printOptions headings="false" gridLines="false" gridLinesSet="true" horizontalCentered="false" verticalCentered="false"/>
  <pageMargins left="0.236111111111111" right="0.236111111111111" top="0.157638888888889" bottom="0.1965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230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2018-04-10T19:28:53Z</dcterms:created>
  <dc:creator>Prado</dc:creator>
  <dc:description/>
  <dc:language>es-AR</dc:language>
  <cp:lastModifiedBy/>
  <dcterms:modified xsi:type="dcterms:W3CDTF">2020-04-21T11:25:27Z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