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onora\Desktop\"/>
    </mc:Choice>
  </mc:AlternateContent>
  <bookViews>
    <workbookView xWindow="0" yWindow="0" windowWidth="15345" windowHeight="4545" activeTab="1"/>
  </bookViews>
  <sheets>
    <sheet name="MB" sheetId="8" r:id="rId1"/>
    <sheet name="CORDONNIER" sheetId="9" r:id="rId2"/>
    <sheet name="Maiz" sheetId="10" state="hidden" r:id="rId3"/>
  </sheets>
  <calcPr calcId="162913"/>
</workbook>
</file>

<file path=xl/calcChain.xml><?xml version="1.0" encoding="utf-8"?>
<calcChain xmlns="http://schemas.openxmlformats.org/spreadsheetml/2006/main">
  <c r="C31" i="8" l="1"/>
  <c r="B28" i="8"/>
  <c r="T24" i="8" s="1"/>
  <c r="T25" i="8" s="1"/>
  <c r="F17" i="8"/>
  <c r="F16" i="8"/>
  <c r="F15" i="8"/>
  <c r="C17" i="8"/>
  <c r="C16" i="8"/>
  <c r="C15" i="8"/>
  <c r="E15" i="8" l="1"/>
  <c r="B15" i="8"/>
  <c r="B17" i="8" l="1"/>
  <c r="C18" i="8"/>
  <c r="G11" i="8"/>
  <c r="E8" i="8"/>
  <c r="E16" i="8"/>
  <c r="B8" i="8"/>
  <c r="D26" i="8" s="1"/>
  <c r="D11" i="8"/>
  <c r="B16" i="8"/>
  <c r="C7" i="9"/>
  <c r="F12" i="9"/>
  <c r="E17" i="8"/>
  <c r="G29" i="10"/>
  <c r="E30" i="8"/>
  <c r="G16" i="8"/>
  <c r="E19" i="10"/>
  <c r="E20" i="10" s="1"/>
  <c r="D13" i="10"/>
  <c r="F13" i="10" s="1"/>
  <c r="D7" i="10"/>
  <c r="F7" i="10" s="1"/>
  <c r="D8" i="10"/>
  <c r="D4" i="10"/>
  <c r="F4" i="10" s="1"/>
  <c r="E26" i="10" s="1"/>
  <c r="D10" i="10"/>
  <c r="D3" i="10"/>
  <c r="F3" i="10" s="1"/>
  <c r="E25" i="10" s="1"/>
  <c r="F15" i="10"/>
  <c r="E24" i="10" s="1"/>
  <c r="D12" i="10"/>
  <c r="F12" i="10" s="1"/>
  <c r="D11" i="10"/>
  <c r="F11" i="10" s="1"/>
  <c r="D9" i="10"/>
  <c r="F9" i="10" s="1"/>
  <c r="F8" i="10"/>
  <c r="F10" i="10"/>
  <c r="D16" i="8"/>
  <c r="E24" i="8"/>
  <c r="F24" i="8" s="1"/>
  <c r="E25" i="8"/>
  <c r="G25" i="8" s="1"/>
  <c r="E26" i="8"/>
  <c r="G26" i="8" s="1"/>
  <c r="E27" i="8"/>
  <c r="G27" i="8" s="1"/>
  <c r="E23" i="8"/>
  <c r="G23" i="8" s="1"/>
  <c r="E22" i="8"/>
  <c r="F22" i="8" s="1"/>
  <c r="C22" i="8"/>
  <c r="C23" i="8"/>
  <c r="C24" i="8"/>
  <c r="G17" i="8"/>
  <c r="D15" i="8"/>
  <c r="D17" i="8"/>
  <c r="L19" i="8"/>
  <c r="J17" i="8"/>
  <c r="J18" i="8" s="1"/>
  <c r="J20" i="8" s="1"/>
  <c r="C30" i="8"/>
  <c r="C25" i="8"/>
  <c r="G19" i="8"/>
  <c r="F19" i="8"/>
  <c r="C19" i="8"/>
  <c r="D24" i="8" l="1"/>
  <c r="E29" i="10"/>
  <c r="F30" i="8"/>
  <c r="E28" i="10"/>
  <c r="C6" i="9"/>
  <c r="C9" i="9" s="1"/>
  <c r="B12" i="8"/>
  <c r="C12" i="8" s="1"/>
  <c r="C35" i="8" s="1"/>
  <c r="G30" i="8"/>
  <c r="D25" i="8"/>
  <c r="F23" i="8"/>
  <c r="D27" i="8"/>
  <c r="D22" i="8"/>
  <c r="G24" i="8"/>
  <c r="D23" i="8"/>
  <c r="D30" i="8"/>
  <c r="L22" i="8"/>
  <c r="G22" i="8"/>
  <c r="D19" i="8"/>
  <c r="B18" i="8"/>
  <c r="F6" i="9" s="1"/>
  <c r="D12" i="8"/>
  <c r="F27" i="8"/>
  <c r="C26" i="8"/>
  <c r="F26" i="8"/>
  <c r="F25" i="8"/>
  <c r="C37" i="8"/>
  <c r="B37" i="8"/>
  <c r="D18" i="8"/>
  <c r="E12" i="8"/>
  <c r="F12" i="8" s="1"/>
  <c r="F11" i="9"/>
  <c r="F14" i="9" s="1"/>
  <c r="G12" i="8"/>
  <c r="E37" i="8"/>
  <c r="D37" i="8"/>
  <c r="E27" i="10"/>
  <c r="K21" i="8"/>
  <c r="F37" i="8"/>
  <c r="F14" i="10"/>
  <c r="C27" i="8"/>
  <c r="G37" i="8"/>
  <c r="C28" i="8" l="1"/>
  <c r="D20" i="8"/>
  <c r="G36" i="8"/>
  <c r="G38" i="8" s="1"/>
  <c r="B36" i="8"/>
  <c r="B38" i="8" s="1"/>
  <c r="E36" i="8"/>
  <c r="E38" i="8" s="1"/>
  <c r="D28" i="8"/>
  <c r="E28" i="8"/>
  <c r="C36" i="8"/>
  <c r="C38" i="8" s="1"/>
  <c r="F36" i="8"/>
  <c r="F38" i="8" s="1"/>
  <c r="B20" i="8"/>
  <c r="B32" i="8" s="1"/>
  <c r="D36" i="8"/>
  <c r="D38" i="8" s="1"/>
  <c r="E18" i="8"/>
  <c r="G15" i="8"/>
  <c r="G18" i="8" s="1"/>
  <c r="F18" i="8"/>
  <c r="G28" i="8" l="1"/>
  <c r="B29" i="8"/>
  <c r="D35" i="8"/>
  <c r="C20" i="8"/>
  <c r="F35" i="8"/>
  <c r="F28" i="8"/>
  <c r="B35" i="8"/>
  <c r="G35" i="8"/>
  <c r="E35" i="8"/>
  <c r="C11" i="9"/>
  <c r="C18" i="9" s="1"/>
  <c r="E20" i="8"/>
  <c r="E32" i="8" s="1"/>
  <c r="T23" i="8" l="1"/>
  <c r="D29" i="8"/>
  <c r="U24" i="8"/>
  <c r="U25" i="8" s="1"/>
  <c r="E29" i="8"/>
  <c r="C29" i="8"/>
  <c r="F20" i="8"/>
  <c r="G20" i="8"/>
  <c r="B31" i="9"/>
  <c r="B25" i="9"/>
  <c r="B24" i="9"/>
  <c r="B30" i="9"/>
  <c r="F31" i="8" l="1"/>
  <c r="U23" i="8"/>
  <c r="G29" i="8"/>
  <c r="F29" i="8"/>
</calcChain>
</file>

<file path=xl/sharedStrings.xml><?xml version="1.0" encoding="utf-8"?>
<sst xmlns="http://schemas.openxmlformats.org/spreadsheetml/2006/main" count="176" uniqueCount="139">
  <si>
    <t>Amortizaciones Directas</t>
  </si>
  <si>
    <t>Comunas Rurales</t>
  </si>
  <si>
    <t>Impuesto Inmobiliario</t>
  </si>
  <si>
    <t>Patentes y seguros</t>
  </si>
  <si>
    <t>Cons. De mejoras fundiarias</t>
  </si>
  <si>
    <t>Total Gastos indirectos</t>
  </si>
  <si>
    <t>Total Amortizaciones Indirectas</t>
  </si>
  <si>
    <t>Tn/Ha</t>
  </si>
  <si>
    <t>$/Tn</t>
  </si>
  <si>
    <t>$/Ha</t>
  </si>
  <si>
    <t>Has.</t>
  </si>
  <si>
    <t>Producción esperada [Tn]</t>
  </si>
  <si>
    <t>Composición de los Costos Directos Totales</t>
  </si>
  <si>
    <t>Composición Gastos Directos:</t>
  </si>
  <si>
    <t>CFT</t>
  </si>
  <si>
    <t>$</t>
  </si>
  <si>
    <t>MB</t>
  </si>
  <si>
    <t>Total Gastos Directos</t>
  </si>
  <si>
    <t>Amortizaciones Directas y Fijas</t>
  </si>
  <si>
    <t>Amortizaciones Indirectas  y Fijas</t>
  </si>
  <si>
    <t>Gastos Indirectos y Fijos</t>
  </si>
  <si>
    <t>Intereses indirectos y fijos</t>
  </si>
  <si>
    <t>MB Unitario</t>
  </si>
  <si>
    <t xml:space="preserve">Retorno </t>
  </si>
  <si>
    <t>Xha</t>
  </si>
  <si>
    <t>Qeq</t>
  </si>
  <si>
    <t>IB</t>
  </si>
  <si>
    <t xml:space="preserve">Composición de los Gastos Indirectos: </t>
  </si>
  <si>
    <t>SOJA</t>
  </si>
  <si>
    <t>INGRESO</t>
  </si>
  <si>
    <t>CVT</t>
  </si>
  <si>
    <t>CT</t>
  </si>
  <si>
    <t>Rdto soja (sin impurezas):</t>
  </si>
  <si>
    <t>Total 100 Has</t>
  </si>
  <si>
    <t>Cosecha</t>
  </si>
  <si>
    <t>Flete Corto</t>
  </si>
  <si>
    <t xml:space="preserve">Total Gastos Directos </t>
  </si>
  <si>
    <t>Movilidad y Mantenimiento Camioneta</t>
  </si>
  <si>
    <t>Estudio Contable</t>
  </si>
  <si>
    <t>SUPERFICIE</t>
  </si>
  <si>
    <t>HIPOTESIS:</t>
  </si>
  <si>
    <t>GANANCIAS</t>
  </si>
  <si>
    <t>PERDIDAS</t>
  </si>
  <si>
    <t>a.- Productos adicionales</t>
  </si>
  <si>
    <t>c.- Gastos Adicionales</t>
  </si>
  <si>
    <t>Precio soja</t>
  </si>
  <si>
    <t>Rendimiento</t>
  </si>
  <si>
    <t>$/ha</t>
  </si>
  <si>
    <t>Gastos directos soja</t>
  </si>
  <si>
    <t>d.- Gastos suprimidos</t>
  </si>
  <si>
    <t>b.- Ingresos Suprimidos</t>
  </si>
  <si>
    <t>Balance:</t>
  </si>
  <si>
    <t>S = (a+d) - (c+b)</t>
  </si>
  <si>
    <t>=</t>
  </si>
  <si>
    <t>Rendimiento de indiferencia de soja:</t>
  </si>
  <si>
    <t>Precio de indiferencia</t>
  </si>
  <si>
    <t>Consignas de Trabajo</t>
  </si>
  <si>
    <t>Un productor debe decidir si produce soja o poroto en el corto plazo.  Para ello el productor dispone de una finca de 200 has y un parque de maquinarias que se adapta a una u otra actividad.</t>
  </si>
  <si>
    <t>Usando el Margen Bruto (MB) como modelo de decisión en un presupuesto de adaptación.  Para ello determine:</t>
  </si>
  <si>
    <r>
      <t>1.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Ingreso percibido por el productor. ¿Por qué se deducen los gastos de comercialización?</t>
    </r>
  </si>
  <si>
    <r>
      <t>2.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Calcule los gastos directos totales</t>
    </r>
  </si>
  <si>
    <r>
      <t>3.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Teniendo en cuenta las dos hipótesis de precios determine los márgenes brutos (total, por ha y por Tn).  ¿Qué opinión le merece el MB  mínimo para la soja?</t>
    </r>
  </si>
  <si>
    <r>
      <t>4.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¿Cuánto debiera ser el precio mínimo de la soja para que el MB sea positivo?</t>
    </r>
  </si>
  <si>
    <r>
      <t>5.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Calcule el Margen Neto (MN)</t>
    </r>
  </si>
  <si>
    <r>
      <t>6.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¿Qué actividad recomendaría?</t>
    </r>
  </si>
  <si>
    <r>
      <t>7.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Determine la superficie y la producción de equilibrio.</t>
    </r>
  </si>
  <si>
    <r>
      <t>8.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 partir del modelo de decisión de De Cordonnier (Esquema de Ganancias y Pérdidas) determine qué actividad le conviene implementar al productor analizado.  Determine precio y rendimiento de indiferencia</t>
    </r>
  </si>
  <si>
    <t xml:space="preserve">      2  l/ha</t>
  </si>
  <si>
    <t xml:space="preserve">     0,5  l/ha</t>
  </si>
  <si>
    <t xml:space="preserve">     3 l/ha</t>
  </si>
  <si>
    <t>1,6  l/ha</t>
  </si>
  <si>
    <t>0,1  l/ha</t>
  </si>
  <si>
    <t xml:space="preserve">Labores : </t>
  </si>
  <si>
    <t>1,75  UTA/ha</t>
  </si>
  <si>
    <t>CONVENCIONAL</t>
  </si>
  <si>
    <t>DIRECTA</t>
  </si>
  <si>
    <t>Q/ha</t>
  </si>
  <si>
    <t>1. Ingreso Bruto (IB)</t>
  </si>
  <si>
    <t>2. Gastos Comerc. (%)</t>
  </si>
  <si>
    <t>3. Ingreso Neto (1-2)</t>
  </si>
  <si>
    <t>a.-Labores</t>
  </si>
  <si>
    <t>b.- Semilla</t>
  </si>
  <si>
    <t>c.- Curasemilla</t>
  </si>
  <si>
    <t>c.- Herbicidas</t>
  </si>
  <si>
    <t>d.- Insecticidas</t>
  </si>
  <si>
    <t>5. Cosecha ( 9% s/IB )</t>
  </si>
  <si>
    <t>6. Margen Bruto ( 3-4-5 )</t>
  </si>
  <si>
    <t>7. Estructura</t>
  </si>
  <si>
    <t>8. Margen Neto</t>
  </si>
  <si>
    <t>7. Rto. Indiferencia (4+5)/ Precio Neto</t>
  </si>
  <si>
    <t>$/kg</t>
  </si>
  <si>
    <t>$/l</t>
  </si>
  <si>
    <t xml:space="preserve"> $/l</t>
  </si>
  <si>
    <t>MAÍZ</t>
  </si>
  <si>
    <t>Rdto Maíz (sin impurezas):</t>
  </si>
  <si>
    <t>e.- Fertilizantes</t>
  </si>
  <si>
    <t>Preparación Suelo, siembra y  C.Culturales</t>
  </si>
  <si>
    <t>Gastos directos del MAÍZ</t>
  </si>
  <si>
    <t>Precio MAIZ</t>
  </si>
  <si>
    <t>Rto= IB ($/Ha) - S ($/ha)/ Precio ($/Tn)</t>
  </si>
  <si>
    <t>Soja:</t>
  </si>
  <si>
    <t>Maíz:</t>
  </si>
  <si>
    <t>Tn/ha</t>
  </si>
  <si>
    <t>Superficie</t>
  </si>
  <si>
    <t>Ha</t>
  </si>
  <si>
    <t>$/año</t>
  </si>
  <si>
    <t>Precio = IB ($/ha) - S ($/ha)/ Rto (Tn/ha)</t>
  </si>
  <si>
    <t>DETERMINACION DEL MARGEN BRUTO DE UN ESTABLECIMIENTO</t>
  </si>
  <si>
    <r>
      <t xml:space="preserve">II.- </t>
    </r>
    <r>
      <rPr>
        <u/>
        <sz val="10"/>
        <rFont val="Arial"/>
        <family val="2"/>
      </rPr>
      <t>Directa</t>
    </r>
  </si>
  <si>
    <t xml:space="preserve">¨       Glifosato : </t>
  </si>
  <si>
    <t>¨       Atrazina :</t>
  </si>
  <si>
    <t xml:space="preserve">¨       Cipermetrina : </t>
  </si>
  <si>
    <t>¨       UREA :             120  KG/ha</t>
  </si>
  <si>
    <t xml:space="preserve">¨       PDA :                  50 KG/ha       </t>
  </si>
  <si>
    <t>4. Gastos Impl.  ( å abcd)</t>
  </si>
  <si>
    <t>$/UTA</t>
  </si>
  <si>
    <r>
      <t xml:space="preserve">MARGEN BRUTO MAÍZ </t>
    </r>
    <r>
      <rPr>
        <sz val="10"/>
        <rFont val="Arial"/>
        <family val="2"/>
      </rPr>
      <t xml:space="preserve"> </t>
    </r>
  </si>
  <si>
    <t>Semilla  MG: 81,6 Kgs/ha</t>
  </si>
  <si>
    <t xml:space="preserve">¨       Acetoclor 84%  Guardian: </t>
  </si>
  <si>
    <t xml:space="preserve">Curasemilla : 0,02 Kg/ha     Gaucho 60% FS            </t>
  </si>
  <si>
    <t>¨       2,4 D 100 % Herbicida:</t>
  </si>
  <si>
    <t xml:space="preserve">Precio </t>
  </si>
  <si>
    <t>$/Q</t>
  </si>
  <si>
    <t>CONVIENE CULTIVAR SOJA EN VEZ DE MAÍZ</t>
  </si>
  <si>
    <t>Rentabilidad Parcial</t>
  </si>
  <si>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ESQUEMA DE GANANCIAS Y PERDIDAS</t>
    </r>
  </si>
  <si>
    <t>gastos de comercialización 10%</t>
  </si>
  <si>
    <t xml:space="preserve"> precio esperado</t>
  </si>
  <si>
    <t>Margen Neto</t>
  </si>
  <si>
    <t>Superficie de Equilibrio</t>
  </si>
  <si>
    <t>Margen Bruto</t>
  </si>
  <si>
    <t>Ingreso Bruto (IB ó VBP)</t>
  </si>
  <si>
    <t>Precio  corregido</t>
  </si>
  <si>
    <t>,,</t>
  </si>
  <si>
    <t>PRODUCTOR DE   GRANOS   EN LOS PEREYRA - CRUZ ALTA - 2020</t>
  </si>
  <si>
    <t>soja</t>
  </si>
  <si>
    <t>maíz</t>
  </si>
  <si>
    <t>MB u ($/ha)</t>
  </si>
  <si>
    <t>Superficie equilibrio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</si>
</sst>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u/>
      <sz val="10"/>
      <name val="Arial"/>
      <family val="2"/>
    </font>
    <font>
      <sz val="10"/>
      <color indexed="9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164" fontId="2" fillId="0" borderId="0" xfId="1" applyFont="1"/>
    <xf numFmtId="164" fontId="3" fillId="0" borderId="0" xfId="1" applyFont="1"/>
    <xf numFmtId="165" fontId="3" fillId="0" borderId="0" xfId="1" applyNumberFormat="1" applyFont="1"/>
    <xf numFmtId="0" fontId="6" fillId="0" borderId="0" xfId="0" applyFont="1"/>
    <xf numFmtId="1" fontId="6" fillId="0" borderId="0" xfId="0" applyNumberFormat="1" applyFont="1"/>
    <xf numFmtId="164" fontId="3" fillId="0" borderId="1" xfId="1" applyFont="1" applyBorder="1" applyAlignment="1">
      <alignment horizontal="center"/>
    </xf>
    <xf numFmtId="164" fontId="3" fillId="0" borderId="0" xfId="1" applyNumberFormat="1" applyFont="1"/>
    <xf numFmtId="164" fontId="2" fillId="0" borderId="2" xfId="1" applyFont="1" applyBorder="1"/>
    <xf numFmtId="164" fontId="3" fillId="0" borderId="3" xfId="1" applyFont="1" applyBorder="1"/>
    <xf numFmtId="0" fontId="6" fillId="0" borderId="3" xfId="0" applyFont="1" applyFill="1" applyBorder="1" applyAlignment="1">
      <alignment horizontal="right"/>
    </xf>
    <xf numFmtId="164" fontId="4" fillId="0" borderId="3" xfId="1" applyFont="1" applyBorder="1"/>
    <xf numFmtId="164" fontId="2" fillId="0" borderId="3" xfId="1" applyFont="1" applyBorder="1" applyAlignment="1">
      <alignment horizontal="right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0" xfId="0" applyFont="1"/>
    <xf numFmtId="0" fontId="8" fillId="0" borderId="0" xfId="0" applyFont="1" applyAlignment="1">
      <alignment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3" fontId="6" fillId="0" borderId="6" xfId="0" applyNumberFormat="1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vertical="top" wrapText="1"/>
    </xf>
    <xf numFmtId="0" fontId="6" fillId="0" borderId="0" xfId="0" applyFont="1" applyBorder="1" applyAlignment="1">
      <alignment horizontal="justify"/>
    </xf>
    <xf numFmtId="0" fontId="0" fillId="0" borderId="0" xfId="0" applyBorder="1"/>
    <xf numFmtId="0" fontId="5" fillId="0" borderId="0" xfId="0" applyFont="1" applyBorder="1" applyAlignment="1">
      <alignment horizontal="justify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justify" vertical="top" wrapText="1"/>
    </xf>
    <xf numFmtId="1" fontId="6" fillId="0" borderId="8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justify" vertical="top" wrapText="1"/>
    </xf>
    <xf numFmtId="1" fontId="6" fillId="0" borderId="6" xfId="0" applyNumberFormat="1" applyFont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4" fontId="6" fillId="0" borderId="0" xfId="0" applyNumberFormat="1" applyFont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2" fontId="6" fillId="0" borderId="0" xfId="0" applyNumberFormat="1" applyFont="1" applyFill="1"/>
    <xf numFmtId="166" fontId="6" fillId="0" borderId="0" xfId="0" applyNumberFormat="1" applyFont="1" applyAlignment="1">
      <alignment horizontal="right"/>
    </xf>
    <xf numFmtId="0" fontId="6" fillId="0" borderId="8" xfId="0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4" fontId="5" fillId="0" borderId="0" xfId="0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6" xfId="0" applyFont="1" applyBorder="1"/>
    <xf numFmtId="3" fontId="2" fillId="0" borderId="6" xfId="0" applyNumberFormat="1" applyFont="1" applyBorder="1"/>
    <xf numFmtId="165" fontId="2" fillId="0" borderId="12" xfId="1" applyNumberFormat="1" applyFont="1" applyBorder="1" applyAlignment="1">
      <alignment horizontal="right"/>
    </xf>
    <xf numFmtId="164" fontId="2" fillId="0" borderId="13" xfId="1" applyFont="1" applyBorder="1" applyAlignment="1">
      <alignment horizontal="right"/>
    </xf>
    <xf numFmtId="164" fontId="2" fillId="0" borderId="14" xfId="1" applyFont="1" applyBorder="1" applyAlignment="1">
      <alignment horizontal="right"/>
    </xf>
    <xf numFmtId="3" fontId="2" fillId="0" borderId="15" xfId="1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16" xfId="1" applyNumberFormat="1" applyFont="1" applyBorder="1" applyAlignment="1">
      <alignment horizontal="right"/>
    </xf>
    <xf numFmtId="4" fontId="2" fillId="0" borderId="17" xfId="1" applyNumberFormat="1" applyFont="1" applyBorder="1" applyAlignment="1">
      <alignment horizontal="right"/>
    </xf>
    <xf numFmtId="3" fontId="2" fillId="0" borderId="18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19" xfId="1" applyNumberFormat="1" applyFont="1" applyBorder="1" applyAlignment="1">
      <alignment horizontal="right"/>
    </xf>
    <xf numFmtId="3" fontId="2" fillId="0" borderId="20" xfId="1" applyNumberFormat="1" applyFont="1" applyBorder="1" applyAlignment="1">
      <alignment horizontal="right"/>
    </xf>
    <xf numFmtId="3" fontId="2" fillId="0" borderId="21" xfId="1" applyNumberFormat="1" applyFont="1" applyBorder="1" applyAlignment="1">
      <alignment horizontal="right"/>
    </xf>
    <xf numFmtId="3" fontId="2" fillId="0" borderId="22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4" xfId="1" applyNumberFormat="1" applyFont="1" applyBorder="1" applyAlignment="1">
      <alignment horizontal="right"/>
    </xf>
    <xf numFmtId="3" fontId="2" fillId="0" borderId="25" xfId="1" applyNumberFormat="1" applyFont="1" applyBorder="1" applyAlignment="1">
      <alignment horizontal="right"/>
    </xf>
    <xf numFmtId="3" fontId="2" fillId="0" borderId="26" xfId="1" applyNumberFormat="1" applyFont="1" applyBorder="1" applyAlignment="1">
      <alignment horizontal="right"/>
    </xf>
    <xf numFmtId="3" fontId="2" fillId="0" borderId="17" xfId="1" applyNumberFormat="1" applyFont="1" applyBorder="1" applyAlignment="1">
      <alignment horizontal="right"/>
    </xf>
    <xf numFmtId="3" fontId="2" fillId="0" borderId="12" xfId="1" applyNumberFormat="1" applyFont="1" applyBorder="1" applyAlignment="1">
      <alignment horizontal="right"/>
    </xf>
    <xf numFmtId="3" fontId="2" fillId="0" borderId="27" xfId="1" applyNumberFormat="1" applyFont="1" applyBorder="1" applyAlignment="1">
      <alignment horizontal="right"/>
    </xf>
    <xf numFmtId="3" fontId="2" fillId="0" borderId="28" xfId="1" applyNumberFormat="1" applyFont="1" applyBorder="1" applyAlignment="1">
      <alignment horizontal="right"/>
    </xf>
    <xf numFmtId="3" fontId="6" fillId="0" borderId="0" xfId="0" applyNumberFormat="1" applyFont="1"/>
    <xf numFmtId="3" fontId="2" fillId="0" borderId="15" xfId="1" applyNumberFormat="1" applyFont="1" applyFill="1" applyBorder="1" applyAlignment="1">
      <alignment horizontal="right"/>
    </xf>
    <xf numFmtId="3" fontId="2" fillId="0" borderId="6" xfId="1" applyNumberFormat="1" applyFont="1" applyFill="1" applyBorder="1" applyAlignment="1">
      <alignment horizontal="right"/>
    </xf>
    <xf numFmtId="3" fontId="2" fillId="0" borderId="16" xfId="1" applyNumberFormat="1" applyFont="1" applyFill="1" applyBorder="1" applyAlignment="1">
      <alignment horizontal="right"/>
    </xf>
    <xf numFmtId="164" fontId="3" fillId="0" borderId="1" xfId="1" applyFont="1" applyFill="1" applyBorder="1"/>
    <xf numFmtId="0" fontId="12" fillId="0" borderId="0" xfId="0" applyFont="1"/>
    <xf numFmtId="0" fontId="13" fillId="0" borderId="0" xfId="0" applyFont="1"/>
    <xf numFmtId="3" fontId="13" fillId="0" borderId="6" xfId="0" applyNumberFormat="1" applyFont="1" applyBorder="1"/>
    <xf numFmtId="3" fontId="13" fillId="0" borderId="0" xfId="0" applyNumberFormat="1" applyFont="1"/>
    <xf numFmtId="3" fontId="5" fillId="0" borderId="0" xfId="0" applyNumberFormat="1" applyFont="1"/>
    <xf numFmtId="2" fontId="13" fillId="0" borderId="0" xfId="0" applyNumberFormat="1" applyFont="1"/>
    <xf numFmtId="0" fontId="13" fillId="0" borderId="0" xfId="0" applyFont="1" applyBorder="1"/>
    <xf numFmtId="164" fontId="13" fillId="0" borderId="0" xfId="1" applyFont="1"/>
    <xf numFmtId="4" fontId="2" fillId="0" borderId="16" xfId="1" applyNumberFormat="1" applyFont="1" applyBorder="1" applyAlignment="1">
      <alignment horizontal="right"/>
    </xf>
    <xf numFmtId="3" fontId="2" fillId="0" borderId="31" xfId="1" applyNumberFormat="1" applyFont="1" applyBorder="1" applyAlignment="1">
      <alignment horizontal="right"/>
    </xf>
    <xf numFmtId="164" fontId="5" fillId="0" borderId="0" xfId="1" applyFont="1" applyAlignment="1">
      <alignment horizontal="center"/>
    </xf>
    <xf numFmtId="9" fontId="6" fillId="0" borderId="29" xfId="2" applyNumberFormat="1" applyFont="1" applyBorder="1" applyAlignment="1">
      <alignment horizontal="center"/>
    </xf>
    <xf numFmtId="9" fontId="6" fillId="0" borderId="30" xfId="2" applyNumberFormat="1" applyFont="1" applyBorder="1" applyAlignment="1">
      <alignment horizontal="center"/>
    </xf>
    <xf numFmtId="9" fontId="6" fillId="0" borderId="11" xfId="2" applyNumberFormat="1" applyFont="1" applyBorder="1" applyAlignment="1">
      <alignment horizontal="center"/>
    </xf>
    <xf numFmtId="164" fontId="3" fillId="0" borderId="29" xfId="1" applyFont="1" applyBorder="1" applyAlignment="1">
      <alignment horizontal="center"/>
    </xf>
    <xf numFmtId="164" fontId="3" fillId="0" borderId="30" xfId="1" applyFont="1" applyBorder="1" applyAlignment="1">
      <alignment horizontal="center"/>
    </xf>
    <xf numFmtId="164" fontId="3" fillId="0" borderId="1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9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3" fontId="6" fillId="0" borderId="9" xfId="0" applyNumberFormat="1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/>
    <xf numFmtId="0" fontId="6" fillId="0" borderId="9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10" fontId="6" fillId="0" borderId="0" xfId="2" applyNumberFormat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Determinación del Punto de Equilibrio
para soja (en has)
</a:t>
            </a:r>
          </a:p>
        </c:rich>
      </c:tx>
      <c:layout>
        <c:manualLayout>
          <c:xMode val="edge"/>
          <c:yMode val="edge"/>
          <c:x val="0.29249807449282511"/>
          <c:y val="1.62206001622060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68217993536874E-2"/>
          <c:y val="0.265207442802052"/>
          <c:w val="0.7065536894499107"/>
          <c:h val="0.635038005241610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MB!$A$35</c:f>
              <c:strCache>
                <c:ptCount val="1"/>
                <c:pt idx="0">
                  <c:v>INGRESO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MB!$B$34:$G$34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MB!$B$35:$G$35</c:f>
              <c:numCache>
                <c:formatCode>#,##0</c:formatCode>
                <c:ptCount val="6"/>
                <c:pt idx="0">
                  <c:v>0</c:v>
                </c:pt>
                <c:pt idx="1">
                  <c:v>369900</c:v>
                </c:pt>
                <c:pt idx="2">
                  <c:v>739800</c:v>
                </c:pt>
                <c:pt idx="3">
                  <c:v>1109700</c:v>
                </c:pt>
                <c:pt idx="4">
                  <c:v>1479600</c:v>
                </c:pt>
                <c:pt idx="5">
                  <c:v>1849500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FA-4FB2-94F7-14DA20EDCC0D}"/>
            </c:ext>
          </c:extLst>
        </c:ser>
        <c:ser>
          <c:idx val="1"/>
          <c:order val="1"/>
          <c:tx>
            <c:strRef>
              <c:f>MB!$A$36</c:f>
              <c:strCache>
                <c:ptCount val="1"/>
                <c:pt idx="0">
                  <c:v>CFT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xVal>
            <c:numRef>
              <c:f>MB!$B$34:$G$34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MB!$B$36:$G$36</c:f>
              <c:numCache>
                <c:formatCode>#,##0</c:formatCode>
                <c:ptCount val="6"/>
                <c:pt idx="0">
                  <c:v>270000</c:v>
                </c:pt>
                <c:pt idx="1">
                  <c:v>270000</c:v>
                </c:pt>
                <c:pt idx="2">
                  <c:v>270000</c:v>
                </c:pt>
                <c:pt idx="3">
                  <c:v>270000</c:v>
                </c:pt>
                <c:pt idx="4">
                  <c:v>270000</c:v>
                </c:pt>
                <c:pt idx="5">
                  <c:v>270000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FA-4FB2-94F7-14DA20EDCC0D}"/>
            </c:ext>
          </c:extLst>
        </c:ser>
        <c:ser>
          <c:idx val="2"/>
          <c:order val="2"/>
          <c:tx>
            <c:strRef>
              <c:f>MB!$A$37</c:f>
              <c:strCache>
                <c:ptCount val="1"/>
                <c:pt idx="0">
                  <c:v>CVT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MB!$B$34:$G$34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MB!$B$37:$G$37</c:f>
              <c:numCache>
                <c:formatCode>#,##0</c:formatCode>
                <c:ptCount val="6"/>
                <c:pt idx="0">
                  <c:v>0</c:v>
                </c:pt>
                <c:pt idx="1">
                  <c:v>294088.44700000004</c:v>
                </c:pt>
                <c:pt idx="2">
                  <c:v>588176.89400000009</c:v>
                </c:pt>
                <c:pt idx="3">
                  <c:v>882265.34100000001</c:v>
                </c:pt>
                <c:pt idx="4">
                  <c:v>1176353.7880000002</c:v>
                </c:pt>
                <c:pt idx="5">
                  <c:v>1470442.2350000001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FA-4FB2-94F7-14DA20EDCC0D}"/>
            </c:ext>
          </c:extLst>
        </c:ser>
        <c:ser>
          <c:idx val="3"/>
          <c:order val="3"/>
          <c:tx>
            <c:strRef>
              <c:f>MB!$A$38</c:f>
              <c:strCache>
                <c:ptCount val="1"/>
                <c:pt idx="0">
                  <c:v>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MB!$B$34:$G$34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</c:numCache>
            </c:numRef>
          </c:xVal>
          <c:yVal>
            <c:numRef>
              <c:f>MB!$B$38:$G$38</c:f>
              <c:numCache>
                <c:formatCode>#,##0</c:formatCode>
                <c:ptCount val="6"/>
                <c:pt idx="0">
                  <c:v>270000</c:v>
                </c:pt>
                <c:pt idx="1">
                  <c:v>564088.44700000004</c:v>
                </c:pt>
                <c:pt idx="2">
                  <c:v>858176.89400000009</c:v>
                </c:pt>
                <c:pt idx="3">
                  <c:v>1152265.341</c:v>
                </c:pt>
                <c:pt idx="4">
                  <c:v>1446353.7880000002</c:v>
                </c:pt>
                <c:pt idx="5">
                  <c:v>1740442.2350000001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FA-4FB2-94F7-14DA20ED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40981120"/>
        <c:axId val="-240979488"/>
      </c:scatterChart>
      <c:valAx>
        <c:axId val="-240981120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240979488"/>
        <c:crosses val="autoZero"/>
        <c:crossBetween val="midCat"/>
        <c:majorUnit val="2"/>
        <c:minorUnit val="1"/>
      </c:valAx>
      <c:valAx>
        <c:axId val="-240979488"/>
        <c:scaling>
          <c:orientation val="minMax"/>
          <c:max val="15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-240981120"/>
        <c:crosses val="autoZero"/>
        <c:crossBetween val="midCat"/>
        <c:min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06098237872594"/>
          <c:y val="0.47445368207706545"/>
          <c:w val="0.15954438148868952"/>
          <c:h val="0.216545526691583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0.78740157480314965" l="0.78740157480314965" r="0.78740157480314965" t="5.9055118110236222" header="0" footer="0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48281</xdr:rowOff>
    </xdr:from>
    <xdr:to>
      <xdr:col>7</xdr:col>
      <xdr:colOff>19050</xdr:colOff>
      <xdr:row>56</xdr:row>
      <xdr:rowOff>76856</xdr:rowOff>
    </xdr:to>
    <xdr:graphicFrame macro="">
      <xdr:nvGraphicFramePr>
        <xdr:cNvPr id="71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75</xdr:row>
          <xdr:rowOff>0</xdr:rowOff>
        </xdr:from>
        <xdr:to>
          <xdr:col>0</xdr:col>
          <xdr:colOff>1562100</xdr:colOff>
          <xdr:row>75</xdr:row>
          <xdr:rowOff>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75</xdr:row>
          <xdr:rowOff>0</xdr:rowOff>
        </xdr:from>
        <xdr:to>
          <xdr:col>5</xdr:col>
          <xdr:colOff>428625</xdr:colOff>
          <xdr:row>75</xdr:row>
          <xdr:rowOff>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75</xdr:row>
          <xdr:rowOff>0</xdr:rowOff>
        </xdr:from>
        <xdr:to>
          <xdr:col>0</xdr:col>
          <xdr:colOff>1857375</xdr:colOff>
          <xdr:row>75</xdr:row>
          <xdr:rowOff>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75</xdr:row>
          <xdr:rowOff>0</xdr:rowOff>
        </xdr:from>
        <xdr:to>
          <xdr:col>5</xdr:col>
          <xdr:colOff>428625</xdr:colOff>
          <xdr:row>75</xdr:row>
          <xdr:rowOff>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75</xdr:row>
          <xdr:rowOff>0</xdr:rowOff>
        </xdr:from>
        <xdr:to>
          <xdr:col>0</xdr:col>
          <xdr:colOff>1838325</xdr:colOff>
          <xdr:row>75</xdr:row>
          <xdr:rowOff>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75</xdr:row>
          <xdr:rowOff>0</xdr:rowOff>
        </xdr:from>
        <xdr:to>
          <xdr:col>5</xdr:col>
          <xdr:colOff>9525</xdr:colOff>
          <xdr:row>75</xdr:row>
          <xdr:rowOff>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75</xdr:row>
          <xdr:rowOff>0</xdr:rowOff>
        </xdr:from>
        <xdr:to>
          <xdr:col>0</xdr:col>
          <xdr:colOff>1924050</xdr:colOff>
          <xdr:row>75</xdr:row>
          <xdr:rowOff>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75</xdr:row>
          <xdr:rowOff>0</xdr:rowOff>
        </xdr:from>
        <xdr:to>
          <xdr:col>5</xdr:col>
          <xdr:colOff>95250</xdr:colOff>
          <xdr:row>75</xdr:row>
          <xdr:rowOff>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w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w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opLeftCell="B40" zoomScale="145" zoomScaleNormal="145" workbookViewId="0">
      <selection activeCell="E63" sqref="E63"/>
    </sheetView>
  </sheetViews>
  <sheetFormatPr baseColWidth="10" defaultRowHeight="12.75" x14ac:dyDescent="0.2"/>
  <cols>
    <col min="1" max="1" width="38.5703125" style="4" bestFit="1" customWidth="1"/>
    <col min="2" max="2" width="13.140625" style="4" customWidth="1"/>
    <col min="3" max="3" width="9.140625" style="4" customWidth="1"/>
    <col min="4" max="4" width="7.7109375" style="4" customWidth="1"/>
    <col min="5" max="5" width="11.140625" style="4" customWidth="1"/>
    <col min="6" max="6" width="8.28515625" style="4" customWidth="1"/>
    <col min="7" max="7" width="10.7109375" style="4" customWidth="1"/>
    <col min="8" max="8" width="9.5703125" style="4" bestFit="1" customWidth="1"/>
    <col min="9" max="9" width="0" style="4" hidden="1" customWidth="1"/>
    <col min="10" max="10" width="29" style="4" hidden="1" customWidth="1"/>
    <col min="11" max="18" width="0" style="4" hidden="1" customWidth="1"/>
    <col min="19" max="19" width="17.42578125" style="4" bestFit="1" customWidth="1"/>
    <col min="20" max="16384" width="11.42578125" style="4"/>
  </cols>
  <sheetData>
    <row r="1" spans="1:8" x14ac:dyDescent="0.2">
      <c r="A1" s="98" t="s">
        <v>107</v>
      </c>
      <c r="B1" s="98"/>
      <c r="C1" s="98"/>
      <c r="D1" s="98"/>
      <c r="E1" s="98"/>
      <c r="F1" s="98"/>
      <c r="G1" s="98"/>
      <c r="H1" s="1"/>
    </row>
    <row r="2" spans="1:8" x14ac:dyDescent="0.2">
      <c r="A2" s="98" t="s">
        <v>134</v>
      </c>
      <c r="B2" s="98"/>
      <c r="C2" s="98"/>
      <c r="D2" s="98"/>
      <c r="E2" s="98"/>
      <c r="F2" s="98"/>
      <c r="G2" s="98"/>
      <c r="H2" s="1"/>
    </row>
    <row r="3" spans="1:8" x14ac:dyDescent="0.2">
      <c r="A3" s="2" t="s">
        <v>103</v>
      </c>
      <c r="B3" s="3">
        <v>100</v>
      </c>
      <c r="C3" s="2" t="s">
        <v>10</v>
      </c>
      <c r="D3" s="1"/>
      <c r="E3" s="1"/>
      <c r="F3" s="1"/>
      <c r="G3" s="1"/>
      <c r="H3" s="1"/>
    </row>
    <row r="4" spans="1:8" x14ac:dyDescent="0.2">
      <c r="A4" s="2" t="s">
        <v>32</v>
      </c>
      <c r="B4" s="7">
        <v>3</v>
      </c>
      <c r="C4" s="2" t="s">
        <v>7</v>
      </c>
      <c r="D4" s="1"/>
      <c r="E4" s="1"/>
      <c r="F4" s="1"/>
      <c r="G4" s="1"/>
      <c r="H4" s="1"/>
    </row>
    <row r="5" spans="1:8" ht="13.5" thickBot="1" x14ac:dyDescent="0.25">
      <c r="A5" s="2" t="s">
        <v>94</v>
      </c>
      <c r="B5" s="7">
        <v>7</v>
      </c>
      <c r="C5" s="2" t="s">
        <v>7</v>
      </c>
      <c r="D5" s="1"/>
      <c r="E5" s="1"/>
      <c r="F5" s="1"/>
      <c r="G5" s="1"/>
      <c r="H5" s="1"/>
    </row>
    <row r="6" spans="1:8" ht="13.5" thickBot="1" x14ac:dyDescent="0.25">
      <c r="A6" s="1"/>
      <c r="B6" s="102" t="s">
        <v>28</v>
      </c>
      <c r="C6" s="103"/>
      <c r="D6" s="104"/>
      <c r="E6" s="102" t="s">
        <v>93</v>
      </c>
      <c r="F6" s="103"/>
      <c r="G6" s="104"/>
    </row>
    <row r="7" spans="1:8" ht="13.5" thickBot="1" x14ac:dyDescent="0.25">
      <c r="A7" s="8"/>
      <c r="B7" s="6" t="s">
        <v>33</v>
      </c>
      <c r="C7" s="6" t="s">
        <v>9</v>
      </c>
      <c r="D7" s="6" t="s">
        <v>8</v>
      </c>
      <c r="E7" s="6" t="s">
        <v>33</v>
      </c>
      <c r="F7" s="6" t="s">
        <v>9</v>
      </c>
      <c r="G7" s="6" t="s">
        <v>8</v>
      </c>
    </row>
    <row r="8" spans="1:8" x14ac:dyDescent="0.2">
      <c r="A8" s="9" t="s">
        <v>11</v>
      </c>
      <c r="B8" s="60">
        <f>B4*B3</f>
        <v>300</v>
      </c>
      <c r="C8" s="61"/>
      <c r="D8" s="62"/>
      <c r="E8" s="60">
        <f>B5*B3</f>
        <v>700</v>
      </c>
      <c r="F8" s="61"/>
      <c r="G8" s="62"/>
    </row>
    <row r="9" spans="1:8" x14ac:dyDescent="0.2">
      <c r="A9" s="9" t="s">
        <v>127</v>
      </c>
      <c r="B9" s="63"/>
      <c r="C9" s="64"/>
      <c r="D9" s="65">
        <v>13700</v>
      </c>
      <c r="E9" s="63"/>
      <c r="F9" s="64"/>
      <c r="G9" s="65">
        <v>8930</v>
      </c>
    </row>
    <row r="10" spans="1:8" x14ac:dyDescent="0.2">
      <c r="A10" s="9" t="s">
        <v>126</v>
      </c>
      <c r="B10" s="63"/>
      <c r="C10" s="64"/>
      <c r="D10" s="96">
        <v>0.1</v>
      </c>
      <c r="E10" s="63"/>
      <c r="F10" s="64"/>
      <c r="G10" s="66">
        <v>0.1</v>
      </c>
    </row>
    <row r="11" spans="1:8" x14ac:dyDescent="0.2">
      <c r="A11" s="9" t="s">
        <v>132</v>
      </c>
      <c r="B11" s="63"/>
      <c r="C11" s="64"/>
      <c r="D11" s="65">
        <f>+D9-D10*D9</f>
        <v>12330</v>
      </c>
      <c r="E11" s="63"/>
      <c r="F11" s="64"/>
      <c r="G11" s="65">
        <f>+G9-G10*G9</f>
        <v>8037</v>
      </c>
    </row>
    <row r="12" spans="1:8" ht="13.5" thickBot="1" x14ac:dyDescent="0.25">
      <c r="A12" s="9" t="s">
        <v>131</v>
      </c>
      <c r="B12" s="97">
        <f>+B8*D11</f>
        <v>3699000</v>
      </c>
      <c r="C12" s="64">
        <f>+B12/B3</f>
        <v>36990</v>
      </c>
      <c r="D12" s="65">
        <f>+D11</f>
        <v>12330</v>
      </c>
      <c r="E12" s="97">
        <f>+E8*G11</f>
        <v>5625900</v>
      </c>
      <c r="F12" s="64">
        <f>+E12/B3</f>
        <v>56259</v>
      </c>
      <c r="G12" s="65">
        <f>+G11</f>
        <v>8037</v>
      </c>
    </row>
    <row r="13" spans="1:8" x14ac:dyDescent="0.2">
      <c r="A13" s="9" t="s">
        <v>12</v>
      </c>
      <c r="B13" s="63"/>
      <c r="C13" s="64"/>
      <c r="D13" s="96"/>
      <c r="E13" s="70"/>
      <c r="F13" s="71"/>
      <c r="G13" s="72"/>
    </row>
    <row r="14" spans="1:8" x14ac:dyDescent="0.2">
      <c r="A14" s="9" t="s">
        <v>13</v>
      </c>
      <c r="B14" s="63"/>
      <c r="C14" s="64"/>
      <c r="D14" s="65"/>
      <c r="E14" s="73"/>
      <c r="F14" s="74"/>
      <c r="G14" s="76"/>
    </row>
    <row r="15" spans="1:8" ht="14.25" customHeight="1" thickBot="1" x14ac:dyDescent="0.25">
      <c r="A15" s="10" t="s">
        <v>96</v>
      </c>
      <c r="B15" s="97">
        <f>+C15*B3</f>
        <v>2015407</v>
      </c>
      <c r="C15" s="64">
        <f>+(86+45+182)*64.39</f>
        <v>20154.07</v>
      </c>
      <c r="D15" s="65">
        <f>+C15/$B$4</f>
        <v>6718.0233333333335</v>
      </c>
      <c r="E15" s="63">
        <f>+F15*$B$3</f>
        <v>3129354</v>
      </c>
      <c r="F15" s="64">
        <f>+(75+181+230)*64.39</f>
        <v>31293.54</v>
      </c>
      <c r="G15" s="65">
        <f>+F15/$B$5</f>
        <v>4470.505714285714</v>
      </c>
    </row>
    <row r="16" spans="1:8" x14ac:dyDescent="0.2">
      <c r="A16" s="10" t="s">
        <v>34</v>
      </c>
      <c r="B16" s="63">
        <f>+C16*$B$3</f>
        <v>482925</v>
      </c>
      <c r="C16" s="64">
        <f>75*64.39</f>
        <v>4829.25</v>
      </c>
      <c r="D16" s="65">
        <f>+C16/$B$4</f>
        <v>1609.75</v>
      </c>
      <c r="E16" s="63">
        <f>+F16*$B$3</f>
        <v>721168</v>
      </c>
      <c r="F16" s="64">
        <f>112*64.39</f>
        <v>7211.68</v>
      </c>
      <c r="G16" s="65">
        <f>+F16/$B$5</f>
        <v>1030.24</v>
      </c>
    </row>
    <row r="17" spans="1:21" ht="13.5" thickBot="1" x14ac:dyDescent="0.25">
      <c r="A17" s="10" t="s">
        <v>35</v>
      </c>
      <c r="B17" s="63">
        <f>+C17*$B$3</f>
        <v>442552.47</v>
      </c>
      <c r="C17" s="64">
        <f>22.91*64.39*3</f>
        <v>4425.5246999999999</v>
      </c>
      <c r="D17" s="65">
        <f>+C17/$B$4</f>
        <v>1475.1749</v>
      </c>
      <c r="E17" s="84">
        <f>+F17*$B$3</f>
        <v>1032622.4299999999</v>
      </c>
      <c r="F17" s="85">
        <f>22.91*64.39*7</f>
        <v>10326.2243</v>
      </c>
      <c r="G17" s="86">
        <f>+F17/$B$5</f>
        <v>1475.1749</v>
      </c>
      <c r="I17" s="4" t="s">
        <v>26</v>
      </c>
      <c r="J17" s="4">
        <f>400*200</f>
        <v>80000</v>
      </c>
      <c r="K17" s="4">
        <v>400</v>
      </c>
      <c r="L17" s="4">
        <v>400</v>
      </c>
    </row>
    <row r="18" spans="1:21" ht="13.5" thickBot="1" x14ac:dyDescent="0.25">
      <c r="A18" s="11" t="s">
        <v>36</v>
      </c>
      <c r="B18" s="68">
        <f t="shared" ref="B18:G18" si="0">SUM(B15:B17)</f>
        <v>2940884.4699999997</v>
      </c>
      <c r="C18" s="68">
        <f t="shared" si="0"/>
        <v>29408.844700000001</v>
      </c>
      <c r="D18" s="68">
        <f t="shared" si="0"/>
        <v>9802.9482333333344</v>
      </c>
      <c r="E18" s="68">
        <f t="shared" si="0"/>
        <v>4883144.43</v>
      </c>
      <c r="F18" s="68">
        <f t="shared" si="0"/>
        <v>48831.444300000003</v>
      </c>
      <c r="G18" s="68">
        <f t="shared" si="0"/>
        <v>6975.9206142857138</v>
      </c>
      <c r="I18" s="4" t="s">
        <v>16</v>
      </c>
      <c r="J18" s="5" t="e">
        <f>+J17-#REF!-#REF!-#REF!</f>
        <v>#REF!</v>
      </c>
      <c r="K18" s="5"/>
      <c r="L18" s="5"/>
    </row>
    <row r="19" spans="1:21" ht="13.5" thickBot="1" x14ac:dyDescent="0.25">
      <c r="A19" s="11" t="s">
        <v>0</v>
      </c>
      <c r="B19" s="77">
        <v>0</v>
      </c>
      <c r="C19" s="78">
        <f>+B19/$B$3</f>
        <v>0</v>
      </c>
      <c r="D19" s="79">
        <f>+B19/$B$8</f>
        <v>0</v>
      </c>
      <c r="E19" s="77">
        <v>0</v>
      </c>
      <c r="F19" s="78">
        <f>+E19/$B$3</f>
        <v>0</v>
      </c>
      <c r="G19" s="79">
        <f>+E19/$E$8</f>
        <v>0</v>
      </c>
      <c r="I19" s="4" t="s">
        <v>22</v>
      </c>
      <c r="J19" s="5"/>
      <c r="K19" s="5"/>
      <c r="L19" s="5" t="e">
        <f>+L17-#REF!-#REF!-#REF!</f>
        <v>#REF!</v>
      </c>
    </row>
    <row r="20" spans="1:21" ht="13.5" thickBot="1" x14ac:dyDescent="0.25">
      <c r="A20" s="9" t="s">
        <v>130</v>
      </c>
      <c r="B20" s="68">
        <f>+B12-B18</f>
        <v>758115.53000000026</v>
      </c>
      <c r="C20" s="68">
        <f>+C12-C18</f>
        <v>7581.1552999999985</v>
      </c>
      <c r="D20" s="68">
        <f>+D12-D18</f>
        <v>2527.0517666666656</v>
      </c>
      <c r="E20" s="68">
        <f>+E12-E18</f>
        <v>742755.5700000003</v>
      </c>
      <c r="F20" s="68">
        <f>+E20/$B$3</f>
        <v>7427.5557000000026</v>
      </c>
      <c r="G20" s="68">
        <f>+E20/$E$8</f>
        <v>1061.0793857142862</v>
      </c>
      <c r="I20" s="4" t="s">
        <v>23</v>
      </c>
      <c r="J20" s="5" t="e">
        <f>+J18/(#REF!+#REF!+#REF!)</f>
        <v>#REF!</v>
      </c>
      <c r="K20" s="5"/>
      <c r="L20" s="5"/>
      <c r="T20" s="83"/>
    </row>
    <row r="21" spans="1:21" x14ac:dyDescent="0.2">
      <c r="A21" s="9" t="s">
        <v>27</v>
      </c>
      <c r="B21" s="73"/>
      <c r="C21" s="74"/>
      <c r="D21" s="75"/>
      <c r="E21" s="73"/>
      <c r="F21" s="74"/>
      <c r="G21" s="76"/>
      <c r="I21" s="4" t="s">
        <v>24</v>
      </c>
      <c r="J21" s="5"/>
      <c r="K21" s="5" t="e">
        <f>+#REF!/#REF!</f>
        <v>#REF!</v>
      </c>
      <c r="L21" s="5"/>
      <c r="T21" s="83"/>
    </row>
    <row r="22" spans="1:21" x14ac:dyDescent="0.2">
      <c r="A22" s="12" t="s">
        <v>2</v>
      </c>
      <c r="B22" s="63">
        <v>20000</v>
      </c>
      <c r="C22" s="64">
        <f t="shared" ref="C22:C30" si="1">+B22/$B$3</f>
        <v>200</v>
      </c>
      <c r="D22" s="65">
        <f t="shared" ref="D22:D30" si="2">+B22/$B$8</f>
        <v>66.666666666666671</v>
      </c>
      <c r="E22" s="63">
        <f t="shared" ref="E22:E28" si="3">+B22</f>
        <v>20000</v>
      </c>
      <c r="F22" s="64">
        <f t="shared" ref="F22:F30" si="4">+E22/$B$3</f>
        <v>200</v>
      </c>
      <c r="G22" s="65">
        <f t="shared" ref="G22:G30" si="5">+E22/$E$8</f>
        <v>28.571428571428573</v>
      </c>
      <c r="I22" s="4" t="s">
        <v>25</v>
      </c>
      <c r="J22" s="5"/>
      <c r="K22" s="5"/>
      <c r="L22" s="5" t="e">
        <f>+#REF!/L19</f>
        <v>#REF!</v>
      </c>
      <c r="T22" s="125" t="s">
        <v>135</v>
      </c>
      <c r="U22" s="124" t="s">
        <v>136</v>
      </c>
    </row>
    <row r="23" spans="1:21" x14ac:dyDescent="0.2">
      <c r="A23" s="12" t="s">
        <v>1</v>
      </c>
      <c r="B23" s="63">
        <v>20000</v>
      </c>
      <c r="C23" s="64">
        <f t="shared" si="1"/>
        <v>200</v>
      </c>
      <c r="D23" s="65">
        <f t="shared" si="2"/>
        <v>66.666666666666671</v>
      </c>
      <c r="E23" s="63">
        <f t="shared" si="3"/>
        <v>20000</v>
      </c>
      <c r="F23" s="64">
        <f t="shared" si="4"/>
        <v>200</v>
      </c>
      <c r="G23" s="65">
        <f t="shared" si="5"/>
        <v>28.571428571428573</v>
      </c>
      <c r="S23" s="4" t="s">
        <v>137</v>
      </c>
      <c r="T23" s="83">
        <f>+C20</f>
        <v>7581.1552999999985</v>
      </c>
      <c r="U23" s="83">
        <f>+F20</f>
        <v>7427.5557000000026</v>
      </c>
    </row>
    <row r="24" spans="1:21" x14ac:dyDescent="0.2">
      <c r="A24" s="12" t="s">
        <v>3</v>
      </c>
      <c r="B24" s="63">
        <v>20000</v>
      </c>
      <c r="C24" s="64">
        <f t="shared" si="1"/>
        <v>200</v>
      </c>
      <c r="D24" s="65">
        <f t="shared" si="2"/>
        <v>66.666666666666671</v>
      </c>
      <c r="E24" s="63">
        <f t="shared" si="3"/>
        <v>20000</v>
      </c>
      <c r="F24" s="64">
        <f t="shared" si="4"/>
        <v>200</v>
      </c>
      <c r="G24" s="65">
        <f t="shared" si="5"/>
        <v>28.571428571428573</v>
      </c>
      <c r="I24" s="5" t="s">
        <v>26</v>
      </c>
      <c r="J24" s="5">
        <v>80000</v>
      </c>
      <c r="K24" s="5">
        <v>400</v>
      </c>
      <c r="L24" s="5">
        <v>400</v>
      </c>
      <c r="S24" s="4" t="s">
        <v>14</v>
      </c>
      <c r="T24" s="83">
        <f>+B30+B28</f>
        <v>270000</v>
      </c>
      <c r="U24" s="83">
        <f>+T24</f>
        <v>270000</v>
      </c>
    </row>
    <row r="25" spans="1:21" x14ac:dyDescent="0.2">
      <c r="A25" s="12" t="s">
        <v>4</v>
      </c>
      <c r="B25" s="63">
        <v>25000</v>
      </c>
      <c r="C25" s="64">
        <f t="shared" si="1"/>
        <v>250</v>
      </c>
      <c r="D25" s="65">
        <f t="shared" si="2"/>
        <v>83.333333333333329</v>
      </c>
      <c r="E25" s="63">
        <f t="shared" si="3"/>
        <v>25000</v>
      </c>
      <c r="F25" s="64">
        <f t="shared" si="4"/>
        <v>250</v>
      </c>
      <c r="G25" s="65">
        <f t="shared" si="5"/>
        <v>35.714285714285715</v>
      </c>
      <c r="I25" s="5"/>
      <c r="J25" s="5" t="s">
        <v>15</v>
      </c>
      <c r="K25" s="5" t="s">
        <v>9</v>
      </c>
      <c r="L25" s="5" t="s">
        <v>8</v>
      </c>
      <c r="S25" s="4" t="s">
        <v>138</v>
      </c>
      <c r="T25" s="34">
        <f>+T24/T23</f>
        <v>35.614624594222477</v>
      </c>
      <c r="U25" s="34">
        <f>+U24/U23</f>
        <v>36.351124233238657</v>
      </c>
    </row>
    <row r="26" spans="1:21" x14ac:dyDescent="0.2">
      <c r="A26" s="12" t="s">
        <v>37</v>
      </c>
      <c r="B26" s="63">
        <v>40000</v>
      </c>
      <c r="C26" s="64">
        <f t="shared" si="1"/>
        <v>400</v>
      </c>
      <c r="D26" s="65">
        <f t="shared" si="2"/>
        <v>133.33333333333334</v>
      </c>
      <c r="E26" s="63">
        <f t="shared" si="3"/>
        <v>40000</v>
      </c>
      <c r="F26" s="64">
        <f t="shared" si="4"/>
        <v>400</v>
      </c>
      <c r="G26" s="65">
        <f t="shared" si="5"/>
        <v>57.142857142857146</v>
      </c>
      <c r="I26" s="5" t="s">
        <v>17</v>
      </c>
      <c r="J26" s="5">
        <v>47895</v>
      </c>
      <c r="K26" s="5">
        <v>239.47499999999999</v>
      </c>
      <c r="L26" s="5">
        <v>239.47499999999999</v>
      </c>
    </row>
    <row r="27" spans="1:21" x14ac:dyDescent="0.2">
      <c r="A27" s="12" t="s">
        <v>38</v>
      </c>
      <c r="B27" s="63">
        <v>50000</v>
      </c>
      <c r="C27" s="64">
        <f t="shared" si="1"/>
        <v>500</v>
      </c>
      <c r="D27" s="65">
        <f t="shared" si="2"/>
        <v>166.66666666666666</v>
      </c>
      <c r="E27" s="63">
        <f t="shared" si="3"/>
        <v>50000</v>
      </c>
      <c r="F27" s="64">
        <f t="shared" si="4"/>
        <v>500</v>
      </c>
      <c r="G27" s="65">
        <f t="shared" si="5"/>
        <v>71.428571428571431</v>
      </c>
      <c r="I27" s="5" t="s">
        <v>20</v>
      </c>
      <c r="J27" s="5">
        <v>38736.81</v>
      </c>
      <c r="K27" s="5">
        <v>193.68404999999998</v>
      </c>
      <c r="L27" s="5">
        <v>193.68404999999998</v>
      </c>
    </row>
    <row r="28" spans="1:21" ht="13.5" thickBot="1" x14ac:dyDescent="0.25">
      <c r="A28" s="11" t="s">
        <v>5</v>
      </c>
      <c r="B28" s="67">
        <f>SUM(B22:B27)</f>
        <v>175000</v>
      </c>
      <c r="C28" s="64">
        <f t="shared" si="1"/>
        <v>1750</v>
      </c>
      <c r="D28" s="65">
        <f t="shared" si="2"/>
        <v>583.33333333333337</v>
      </c>
      <c r="E28" s="63">
        <f t="shared" si="3"/>
        <v>175000</v>
      </c>
      <c r="F28" s="64">
        <f t="shared" si="4"/>
        <v>1750</v>
      </c>
      <c r="G28" s="65">
        <f t="shared" si="5"/>
        <v>250</v>
      </c>
      <c r="I28" s="5" t="s">
        <v>18</v>
      </c>
      <c r="J28" s="5">
        <v>1750</v>
      </c>
      <c r="K28" s="5">
        <v>8.75</v>
      </c>
      <c r="L28" s="5">
        <v>8.75</v>
      </c>
    </row>
    <row r="29" spans="1:21" ht="13.5" thickBot="1" x14ac:dyDescent="0.25">
      <c r="A29" s="9" t="s">
        <v>128</v>
      </c>
      <c r="B29" s="68">
        <f>+B20-B28</f>
        <v>583115.53000000026</v>
      </c>
      <c r="C29" s="69">
        <f t="shared" si="1"/>
        <v>5831.1553000000022</v>
      </c>
      <c r="D29" s="65">
        <f t="shared" si="2"/>
        <v>1943.7184333333341</v>
      </c>
      <c r="E29" s="68">
        <f>+E20-E28</f>
        <v>567755.5700000003</v>
      </c>
      <c r="F29" s="69">
        <f t="shared" si="4"/>
        <v>5677.5557000000026</v>
      </c>
      <c r="G29" s="65">
        <f t="shared" si="5"/>
        <v>811.0793857142861</v>
      </c>
      <c r="I29" s="5" t="s">
        <v>19</v>
      </c>
      <c r="J29" s="5">
        <v>11670</v>
      </c>
      <c r="K29" s="5">
        <v>58.35</v>
      </c>
      <c r="L29" s="5">
        <v>29.175000000000001</v>
      </c>
    </row>
    <row r="30" spans="1:21" ht="13.5" thickBot="1" x14ac:dyDescent="0.25">
      <c r="A30" s="9" t="s">
        <v>6</v>
      </c>
      <c r="B30" s="80">
        <v>95000</v>
      </c>
      <c r="C30" s="78">
        <f t="shared" si="1"/>
        <v>950</v>
      </c>
      <c r="D30" s="65">
        <f t="shared" si="2"/>
        <v>316.66666666666669</v>
      </c>
      <c r="E30" s="80">
        <f>+B30</f>
        <v>95000</v>
      </c>
      <c r="F30" s="78">
        <f t="shared" si="4"/>
        <v>950</v>
      </c>
      <c r="G30" s="65">
        <f t="shared" si="5"/>
        <v>135.71428571428572</v>
      </c>
      <c r="I30" s="5" t="s">
        <v>21</v>
      </c>
      <c r="J30" s="5">
        <v>2400</v>
      </c>
      <c r="K30" s="5">
        <v>12</v>
      </c>
      <c r="L30" s="5">
        <v>12</v>
      </c>
      <c r="S30" s="83"/>
    </row>
    <row r="31" spans="1:21" ht="13.5" thickBot="1" x14ac:dyDescent="0.25">
      <c r="A31" s="9" t="s">
        <v>129</v>
      </c>
      <c r="B31" s="81"/>
      <c r="C31" s="68">
        <f>+(B30+B28)/C20</f>
        <v>35.614624594222477</v>
      </c>
      <c r="D31" s="82"/>
      <c r="E31" s="81"/>
      <c r="F31" s="68">
        <f>+(E30+E28)/F20</f>
        <v>36.351124233238657</v>
      </c>
      <c r="G31" s="82"/>
      <c r="I31" s="5" t="s">
        <v>16</v>
      </c>
      <c r="J31" s="5">
        <v>28755</v>
      </c>
      <c r="K31" s="5"/>
      <c r="L31" s="5"/>
    </row>
    <row r="32" spans="1:21" ht="13.5" thickBot="1" x14ac:dyDescent="0.25">
      <c r="A32" s="87" t="s">
        <v>124</v>
      </c>
      <c r="B32" s="99">
        <f>+B20/B15</f>
        <v>0.37616001631432272</v>
      </c>
      <c r="C32" s="100"/>
      <c r="D32" s="101"/>
      <c r="E32" s="99">
        <f>+E20/E15</f>
        <v>0.2373510858790665</v>
      </c>
      <c r="F32" s="100"/>
      <c r="G32" s="101"/>
      <c r="J32" s="5" t="s">
        <v>14</v>
      </c>
      <c r="K32" s="5">
        <v>52806.81</v>
      </c>
      <c r="L32" s="5"/>
      <c r="M32" s="5"/>
    </row>
    <row r="33" spans="1:7" x14ac:dyDescent="0.2">
      <c r="B33" s="4" t="s">
        <v>133</v>
      </c>
    </row>
    <row r="34" spans="1:7" x14ac:dyDescent="0.2">
      <c r="A34" s="56" t="s">
        <v>39</v>
      </c>
      <c r="B34" s="57">
        <v>0</v>
      </c>
      <c r="C34" s="57">
        <v>10</v>
      </c>
      <c r="D34" s="57">
        <v>20</v>
      </c>
      <c r="E34" s="57">
        <v>30</v>
      </c>
      <c r="F34" s="57">
        <v>40</v>
      </c>
      <c r="G34" s="57">
        <v>50</v>
      </c>
    </row>
    <row r="35" spans="1:7" x14ac:dyDescent="0.2">
      <c r="A35" s="58" t="s">
        <v>29</v>
      </c>
      <c r="B35" s="59">
        <f t="shared" ref="B35:G35" si="6">$C$12*B34</f>
        <v>0</v>
      </c>
      <c r="C35" s="59">
        <f>$C$12*C34</f>
        <v>369900</v>
      </c>
      <c r="D35" s="59">
        <f t="shared" si="6"/>
        <v>739800</v>
      </c>
      <c r="E35" s="59">
        <f t="shared" si="6"/>
        <v>1109700</v>
      </c>
      <c r="F35" s="59">
        <f t="shared" si="6"/>
        <v>1479600</v>
      </c>
      <c r="G35" s="59">
        <f t="shared" si="6"/>
        <v>1849500</v>
      </c>
    </row>
    <row r="36" spans="1:7" x14ac:dyDescent="0.2">
      <c r="A36" s="58" t="s">
        <v>14</v>
      </c>
      <c r="B36" s="59">
        <f t="shared" ref="B36:G36" si="7">$B$28+$B$30</f>
        <v>270000</v>
      </c>
      <c r="C36" s="59">
        <f t="shared" si="7"/>
        <v>270000</v>
      </c>
      <c r="D36" s="59">
        <f t="shared" si="7"/>
        <v>270000</v>
      </c>
      <c r="E36" s="59">
        <f t="shared" si="7"/>
        <v>270000</v>
      </c>
      <c r="F36" s="59">
        <f t="shared" si="7"/>
        <v>270000</v>
      </c>
      <c r="G36" s="59">
        <f t="shared" si="7"/>
        <v>270000</v>
      </c>
    </row>
    <row r="37" spans="1:7" x14ac:dyDescent="0.2">
      <c r="A37" s="58" t="s">
        <v>30</v>
      </c>
      <c r="B37" s="59">
        <f t="shared" ref="B37:G37" si="8">B34*$C$18</f>
        <v>0</v>
      </c>
      <c r="C37" s="59">
        <f t="shared" si="8"/>
        <v>294088.44700000004</v>
      </c>
      <c r="D37" s="59">
        <f t="shared" si="8"/>
        <v>588176.89400000009</v>
      </c>
      <c r="E37" s="59">
        <f t="shared" si="8"/>
        <v>882265.34100000001</v>
      </c>
      <c r="F37" s="59">
        <f t="shared" si="8"/>
        <v>1176353.7880000002</v>
      </c>
      <c r="G37" s="59">
        <f t="shared" si="8"/>
        <v>1470442.2350000001</v>
      </c>
    </row>
    <row r="38" spans="1:7" x14ac:dyDescent="0.2">
      <c r="A38" s="58" t="s">
        <v>31</v>
      </c>
      <c r="B38" s="59">
        <f t="shared" ref="B38:G38" si="9">+B37+B36</f>
        <v>270000</v>
      </c>
      <c r="C38" s="59">
        <f t="shared" si="9"/>
        <v>564088.44700000004</v>
      </c>
      <c r="D38" s="59">
        <f t="shared" si="9"/>
        <v>858176.89400000009</v>
      </c>
      <c r="E38" s="59">
        <f t="shared" si="9"/>
        <v>1152265.341</v>
      </c>
      <c r="F38" s="59">
        <f t="shared" si="9"/>
        <v>1446353.7880000002</v>
      </c>
      <c r="G38" s="59">
        <f t="shared" si="9"/>
        <v>1740442.2350000001</v>
      </c>
    </row>
  </sheetData>
  <mergeCells count="6">
    <mergeCell ref="A1:G1"/>
    <mergeCell ref="A2:G2"/>
    <mergeCell ref="B32:D32"/>
    <mergeCell ref="E32:G32"/>
    <mergeCell ref="B6:D6"/>
    <mergeCell ref="E6:G6"/>
  </mergeCells>
  <phoneticPr fontId="7" type="noConversion"/>
  <printOptions horizontalCentered="1"/>
  <pageMargins left="0" right="0" top="0.39370078740157483" bottom="0" header="0" footer="0"/>
  <pageSetup paperSize="9" scale="95" orientation="portrait" horizontalDpi="4294967295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77" r:id="rId4">
          <objectPr defaultSize="0" autoPict="0" r:id="rId5">
            <anchor moveWithCells="1" siz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1562100</xdr:colOff>
                <xdr:row>75</xdr:row>
                <xdr:rowOff>0</xdr:rowOff>
              </to>
            </anchor>
          </objectPr>
        </oleObject>
      </mc:Choice>
      <mc:Fallback>
        <oleObject progId="Equation.3" shapeId="7177" r:id="rId4"/>
      </mc:Fallback>
    </mc:AlternateContent>
    <mc:AlternateContent xmlns:mc="http://schemas.openxmlformats.org/markup-compatibility/2006">
      <mc:Choice Requires="x14">
        <oleObject progId="Equation.3" shapeId="7176" r:id="rId6">
          <objectPr defaultSize="0" autoPict="0" r:id="rId7">
            <anchor moveWithCells="1" sizeWithCells="1">
              <from>
                <xdr:col>3</xdr:col>
                <xdr:colOff>0</xdr:colOff>
                <xdr:row>75</xdr:row>
                <xdr:rowOff>0</xdr:rowOff>
              </from>
              <to>
                <xdr:col>5</xdr:col>
                <xdr:colOff>428625</xdr:colOff>
                <xdr:row>75</xdr:row>
                <xdr:rowOff>0</xdr:rowOff>
              </to>
            </anchor>
          </objectPr>
        </oleObject>
      </mc:Choice>
      <mc:Fallback>
        <oleObject progId="Equation.3" shapeId="7176" r:id="rId6"/>
      </mc:Fallback>
    </mc:AlternateContent>
    <mc:AlternateContent xmlns:mc="http://schemas.openxmlformats.org/markup-compatibility/2006">
      <mc:Choice Requires="x14">
        <oleObject progId="Equation.3" shapeId="7175" r:id="rId8">
          <objectPr defaultSize="0" autoPict="0" r:id="rId9">
            <anchor moveWithCells="1" siz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1857375</xdr:colOff>
                <xdr:row>75</xdr:row>
                <xdr:rowOff>0</xdr:rowOff>
              </to>
            </anchor>
          </objectPr>
        </oleObject>
      </mc:Choice>
      <mc:Fallback>
        <oleObject progId="Equation.3" shapeId="7175" r:id="rId8"/>
      </mc:Fallback>
    </mc:AlternateContent>
    <mc:AlternateContent xmlns:mc="http://schemas.openxmlformats.org/markup-compatibility/2006">
      <mc:Choice Requires="x14">
        <oleObject progId="Equation.3" shapeId="7174" r:id="rId10">
          <objectPr defaultSize="0" autoPict="0" r:id="rId11">
            <anchor moveWithCells="1" sizeWithCells="1">
              <from>
                <xdr:col>3</xdr:col>
                <xdr:colOff>0</xdr:colOff>
                <xdr:row>75</xdr:row>
                <xdr:rowOff>0</xdr:rowOff>
              </from>
              <to>
                <xdr:col>5</xdr:col>
                <xdr:colOff>428625</xdr:colOff>
                <xdr:row>75</xdr:row>
                <xdr:rowOff>0</xdr:rowOff>
              </to>
            </anchor>
          </objectPr>
        </oleObject>
      </mc:Choice>
      <mc:Fallback>
        <oleObject progId="Equation.3" shapeId="7174" r:id="rId10"/>
      </mc:Fallback>
    </mc:AlternateContent>
    <mc:AlternateContent xmlns:mc="http://schemas.openxmlformats.org/markup-compatibility/2006">
      <mc:Choice Requires="x14">
        <oleObject progId="Equation.3" shapeId="7173" r:id="rId12">
          <objectPr defaultSize="0" autoPict="0" r:id="rId13">
            <anchor moveWithCells="1" siz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1838325</xdr:colOff>
                <xdr:row>75</xdr:row>
                <xdr:rowOff>0</xdr:rowOff>
              </to>
            </anchor>
          </objectPr>
        </oleObject>
      </mc:Choice>
      <mc:Fallback>
        <oleObject progId="Equation.3" shapeId="7173" r:id="rId12"/>
      </mc:Fallback>
    </mc:AlternateContent>
    <mc:AlternateContent xmlns:mc="http://schemas.openxmlformats.org/markup-compatibility/2006">
      <mc:Choice Requires="x14">
        <oleObject progId="Equation.3" shapeId="7172" r:id="rId14">
          <objectPr defaultSize="0" autoPict="0" r:id="rId15">
            <anchor moveWithCells="1" sizeWithCells="1">
              <from>
                <xdr:col>2</xdr:col>
                <xdr:colOff>0</xdr:colOff>
                <xdr:row>75</xdr:row>
                <xdr:rowOff>0</xdr:rowOff>
              </from>
              <to>
                <xdr:col>5</xdr:col>
                <xdr:colOff>9525</xdr:colOff>
                <xdr:row>75</xdr:row>
                <xdr:rowOff>0</xdr:rowOff>
              </to>
            </anchor>
          </objectPr>
        </oleObject>
      </mc:Choice>
      <mc:Fallback>
        <oleObject progId="Equation.3" shapeId="7172" r:id="rId14"/>
      </mc:Fallback>
    </mc:AlternateContent>
    <mc:AlternateContent xmlns:mc="http://schemas.openxmlformats.org/markup-compatibility/2006">
      <mc:Choice Requires="x14">
        <oleObject progId="Equation.3" shapeId="7171" r:id="rId16">
          <objectPr defaultSize="0" autoPict="0" r:id="rId17">
            <anchor moveWithCells="1" sizeWithCells="1">
              <from>
                <xdr:col>0</xdr:col>
                <xdr:colOff>0</xdr:colOff>
                <xdr:row>75</xdr:row>
                <xdr:rowOff>0</xdr:rowOff>
              </from>
              <to>
                <xdr:col>0</xdr:col>
                <xdr:colOff>1924050</xdr:colOff>
                <xdr:row>75</xdr:row>
                <xdr:rowOff>0</xdr:rowOff>
              </to>
            </anchor>
          </objectPr>
        </oleObject>
      </mc:Choice>
      <mc:Fallback>
        <oleObject progId="Equation.3" shapeId="7171" r:id="rId16"/>
      </mc:Fallback>
    </mc:AlternateContent>
    <mc:AlternateContent xmlns:mc="http://schemas.openxmlformats.org/markup-compatibility/2006">
      <mc:Choice Requires="x14">
        <oleObject progId="Equation.3" shapeId="7170" r:id="rId18">
          <objectPr defaultSize="0" autoPict="0" r:id="rId19">
            <anchor moveWithCells="1" sizeWithCells="1">
              <from>
                <xdr:col>2</xdr:col>
                <xdr:colOff>0</xdr:colOff>
                <xdr:row>75</xdr:row>
                <xdr:rowOff>0</xdr:rowOff>
              </from>
              <to>
                <xdr:col>5</xdr:col>
                <xdr:colOff>95250</xdr:colOff>
                <xdr:row>75</xdr:row>
                <xdr:rowOff>0</xdr:rowOff>
              </to>
            </anchor>
          </objectPr>
        </oleObject>
      </mc:Choice>
      <mc:Fallback>
        <oleObject progId="Equation.3" shapeId="7170" r:id="rId1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sqref="A1:F1"/>
    </sheetView>
  </sheetViews>
  <sheetFormatPr baseColWidth="10" defaultRowHeight="12.75" x14ac:dyDescent="0.2"/>
  <cols>
    <col min="1" max="1" width="24.7109375" customWidth="1"/>
    <col min="2" max="2" width="41.5703125" bestFit="1" customWidth="1"/>
    <col min="3" max="3" width="9.85546875" customWidth="1"/>
    <col min="4" max="4" width="25.7109375" customWidth="1"/>
  </cols>
  <sheetData>
    <row r="1" spans="1:7" x14ac:dyDescent="0.2">
      <c r="A1" s="105" t="s">
        <v>125</v>
      </c>
      <c r="B1" s="105"/>
      <c r="C1" s="105"/>
      <c r="D1" s="105"/>
      <c r="E1" s="105"/>
      <c r="F1" s="105"/>
    </row>
    <row r="2" spans="1:7" x14ac:dyDescent="0.2">
      <c r="A2" s="15" t="s">
        <v>40</v>
      </c>
      <c r="B2" s="15" t="s">
        <v>123</v>
      </c>
      <c r="C2" s="89"/>
      <c r="D2" s="89"/>
      <c r="E2" s="89"/>
      <c r="F2" s="89"/>
    </row>
    <row r="3" spans="1:7" ht="13.5" thickBot="1" x14ac:dyDescent="0.25">
      <c r="A3" s="15"/>
      <c r="B3" s="89"/>
      <c r="C3" s="89"/>
      <c r="D3" s="89"/>
      <c r="E3" s="89"/>
      <c r="F3" s="89"/>
    </row>
    <row r="4" spans="1:7" ht="13.5" thickBot="1" x14ac:dyDescent="0.25">
      <c r="A4" s="116" t="s">
        <v>41</v>
      </c>
      <c r="B4" s="117"/>
      <c r="C4" s="118"/>
      <c r="D4" s="116" t="s">
        <v>42</v>
      </c>
      <c r="E4" s="117"/>
      <c r="F4" s="118"/>
    </row>
    <row r="5" spans="1:7" ht="13.5" thickBot="1" x14ac:dyDescent="0.25">
      <c r="A5" s="106" t="s">
        <v>43</v>
      </c>
      <c r="B5" s="107"/>
      <c r="C5" s="108"/>
      <c r="D5" s="106" t="s">
        <v>44</v>
      </c>
      <c r="E5" s="107"/>
      <c r="F5" s="107"/>
    </row>
    <row r="6" spans="1:7" x14ac:dyDescent="0.2">
      <c r="A6" s="20" t="s">
        <v>45</v>
      </c>
      <c r="B6" s="21" t="s">
        <v>8</v>
      </c>
      <c r="C6" s="90">
        <f>+MB!D11</f>
        <v>12330</v>
      </c>
      <c r="D6" s="109" t="s">
        <v>48</v>
      </c>
      <c r="E6" s="112" t="s">
        <v>105</v>
      </c>
      <c r="F6" s="115">
        <f>+MB!B18</f>
        <v>2940884.4699999997</v>
      </c>
    </row>
    <row r="7" spans="1:7" x14ac:dyDescent="0.2">
      <c r="A7" s="20" t="s">
        <v>46</v>
      </c>
      <c r="B7" s="21" t="s">
        <v>102</v>
      </c>
      <c r="C7" s="19">
        <f>MB!B4</f>
        <v>3</v>
      </c>
      <c r="D7" s="110"/>
      <c r="E7" s="113"/>
      <c r="F7" s="110"/>
    </row>
    <row r="8" spans="1:7" x14ac:dyDescent="0.2">
      <c r="A8" s="20" t="s">
        <v>103</v>
      </c>
      <c r="B8" s="21" t="s">
        <v>104</v>
      </c>
      <c r="C8" s="19">
        <v>100</v>
      </c>
      <c r="D8" s="110"/>
      <c r="E8" s="113"/>
      <c r="F8" s="110"/>
    </row>
    <row r="9" spans="1:7" ht="13.5" thickBot="1" x14ac:dyDescent="0.25">
      <c r="A9" s="13"/>
      <c r="B9" s="23" t="s">
        <v>105</v>
      </c>
      <c r="C9" s="19">
        <f>C6*C7*C8</f>
        <v>3699000</v>
      </c>
      <c r="D9" s="111"/>
      <c r="E9" s="114"/>
      <c r="F9" s="111"/>
    </row>
    <row r="10" spans="1:7" ht="13.5" thickBot="1" x14ac:dyDescent="0.25">
      <c r="A10" s="106" t="s">
        <v>49</v>
      </c>
      <c r="B10" s="107"/>
      <c r="C10" s="108"/>
      <c r="D10" s="106" t="s">
        <v>50</v>
      </c>
      <c r="E10" s="107"/>
      <c r="F10" s="107"/>
    </row>
    <row r="11" spans="1:7" x14ac:dyDescent="0.2">
      <c r="A11" s="109" t="s">
        <v>97</v>
      </c>
      <c r="B11" s="112" t="s">
        <v>105</v>
      </c>
      <c r="C11" s="115">
        <f>MB!E18</f>
        <v>4883144.43</v>
      </c>
      <c r="D11" s="25" t="s">
        <v>98</v>
      </c>
      <c r="E11" s="26" t="s">
        <v>8</v>
      </c>
      <c r="F11" s="24">
        <f>+MB!G11</f>
        <v>8037</v>
      </c>
      <c r="G11" s="4"/>
    </row>
    <row r="12" spans="1:7" x14ac:dyDescent="0.2">
      <c r="A12" s="110"/>
      <c r="B12" s="113"/>
      <c r="C12" s="110"/>
      <c r="D12" s="22" t="s">
        <v>46</v>
      </c>
      <c r="E12" s="21" t="s">
        <v>102</v>
      </c>
      <c r="F12" s="20">
        <f>+MB!B5</f>
        <v>7</v>
      </c>
      <c r="G12" s="4"/>
    </row>
    <row r="13" spans="1:7" x14ac:dyDescent="0.2">
      <c r="A13" s="110"/>
      <c r="B13" s="113"/>
      <c r="C13" s="110"/>
      <c r="D13" s="22"/>
      <c r="E13" s="21" t="s">
        <v>104</v>
      </c>
      <c r="F13" s="20">
        <v>100</v>
      </c>
      <c r="G13" s="4"/>
    </row>
    <row r="14" spans="1:7" ht="13.5" thickBot="1" x14ac:dyDescent="0.25">
      <c r="A14" s="111"/>
      <c r="B14" s="114"/>
      <c r="C14" s="111"/>
      <c r="D14" s="14"/>
      <c r="E14" s="23" t="s">
        <v>105</v>
      </c>
      <c r="F14" s="27">
        <f>+F11*F12*F13</f>
        <v>5625900</v>
      </c>
      <c r="G14" s="4"/>
    </row>
    <row r="15" spans="1:7" x14ac:dyDescent="0.2">
      <c r="A15" s="16"/>
      <c r="B15" s="16"/>
      <c r="C15" s="16"/>
      <c r="D15" s="16"/>
      <c r="E15" s="16"/>
      <c r="F15" s="16"/>
    </row>
    <row r="16" spans="1:7" x14ac:dyDescent="0.2">
      <c r="A16" s="15" t="s">
        <v>51</v>
      </c>
      <c r="B16" s="89"/>
      <c r="C16" s="89"/>
      <c r="D16" s="89"/>
      <c r="E16" s="89"/>
      <c r="F16" s="89"/>
    </row>
    <row r="17" spans="1:12" x14ac:dyDescent="0.2">
      <c r="A17" s="15"/>
      <c r="B17" s="89"/>
      <c r="C17" s="91"/>
      <c r="D17" s="89"/>
      <c r="E17" s="89"/>
      <c r="F17" s="89"/>
    </row>
    <row r="18" spans="1:12" x14ac:dyDescent="0.2">
      <c r="A18" s="15" t="s">
        <v>52</v>
      </c>
      <c r="B18" s="15" t="s">
        <v>53</v>
      </c>
      <c r="C18" s="92">
        <f>+C9+C11-(F6+F14)</f>
        <v>15359.960000000894</v>
      </c>
      <c r="D18" s="15" t="s">
        <v>15</v>
      </c>
      <c r="E18" s="89"/>
      <c r="F18" s="89"/>
    </row>
    <row r="19" spans="1:12" x14ac:dyDescent="0.2">
      <c r="A19" s="17"/>
      <c r="B19" s="89"/>
      <c r="C19" s="89"/>
      <c r="D19" s="89"/>
      <c r="E19" s="89"/>
      <c r="F19" s="89"/>
    </row>
    <row r="20" spans="1:12" x14ac:dyDescent="0.2">
      <c r="A20" s="105" t="s">
        <v>54</v>
      </c>
      <c r="B20" s="105"/>
      <c r="C20" s="105"/>
      <c r="D20" s="105"/>
      <c r="E20" s="105"/>
      <c r="F20" s="105"/>
    </row>
    <row r="21" spans="1:12" x14ac:dyDescent="0.2">
      <c r="A21" s="17"/>
      <c r="B21" s="89"/>
      <c r="C21" s="89"/>
      <c r="D21" s="89"/>
      <c r="E21" s="89"/>
      <c r="F21" s="89"/>
    </row>
    <row r="22" spans="1:12" x14ac:dyDescent="0.2">
      <c r="A22" s="89" t="s">
        <v>99</v>
      </c>
      <c r="B22" s="89"/>
      <c r="C22" s="89"/>
      <c r="D22" s="89"/>
      <c r="E22" s="89"/>
      <c r="F22" s="89"/>
    </row>
    <row r="23" spans="1:12" x14ac:dyDescent="0.2">
      <c r="A23" s="17"/>
      <c r="B23" s="89"/>
      <c r="C23" s="89"/>
      <c r="D23" s="89"/>
      <c r="E23" s="89"/>
      <c r="F23" s="89"/>
    </row>
    <row r="24" spans="1:12" x14ac:dyDescent="0.2">
      <c r="A24" s="31" t="s">
        <v>100</v>
      </c>
      <c r="B24" s="93">
        <f>(C9/100-C18/100)/C6</f>
        <v>2.9875426115166253</v>
      </c>
      <c r="C24" s="89" t="s">
        <v>7</v>
      </c>
      <c r="D24" s="89"/>
      <c r="E24" s="89"/>
      <c r="F24" s="89"/>
    </row>
    <row r="25" spans="1:12" x14ac:dyDescent="0.2">
      <c r="A25" s="31" t="s">
        <v>101</v>
      </c>
      <c r="B25" s="93">
        <f>+(F14/100+C18/100)/F11</f>
        <v>7.0191115590394437</v>
      </c>
      <c r="C25" s="89" t="s">
        <v>7</v>
      </c>
      <c r="D25" s="89"/>
      <c r="E25" s="89"/>
      <c r="F25" s="89"/>
    </row>
    <row r="26" spans="1:12" x14ac:dyDescent="0.2">
      <c r="A26" s="30" t="s">
        <v>55</v>
      </c>
      <c r="B26" s="94"/>
      <c r="C26" s="94"/>
      <c r="D26" s="94"/>
      <c r="E26" s="94"/>
      <c r="F26" s="94"/>
      <c r="G26" s="29"/>
      <c r="H26" s="29"/>
      <c r="I26" s="29"/>
      <c r="J26" s="29"/>
      <c r="K26" s="29"/>
      <c r="L26" s="29"/>
    </row>
    <row r="27" spans="1:12" x14ac:dyDescent="0.2">
      <c r="A27" s="28"/>
      <c r="B27" s="94"/>
      <c r="C27" s="94"/>
      <c r="D27" s="94"/>
      <c r="E27" s="94"/>
      <c r="F27" s="94"/>
      <c r="G27" s="29"/>
      <c r="H27" s="29"/>
      <c r="I27" s="29"/>
      <c r="J27" s="29"/>
      <c r="K27" s="29"/>
      <c r="L27" s="29"/>
    </row>
    <row r="28" spans="1:12" x14ac:dyDescent="0.2">
      <c r="A28" s="33" t="s">
        <v>106</v>
      </c>
      <c r="B28" s="94"/>
      <c r="C28" s="94"/>
      <c r="D28" s="94"/>
      <c r="E28" s="94"/>
      <c r="F28" s="94"/>
      <c r="G28" s="29"/>
      <c r="H28" s="29"/>
      <c r="I28" s="29"/>
      <c r="J28" s="29"/>
      <c r="K28" s="29"/>
      <c r="L28" s="29"/>
    </row>
    <row r="29" spans="1:12" x14ac:dyDescent="0.2">
      <c r="A29" s="94"/>
      <c r="B29" s="94"/>
      <c r="C29" s="94"/>
      <c r="D29" s="94"/>
      <c r="E29" s="94"/>
      <c r="F29" s="94"/>
      <c r="G29" s="29"/>
      <c r="H29" s="29"/>
      <c r="I29" s="29"/>
      <c r="J29" s="29"/>
      <c r="K29" s="29"/>
      <c r="L29" s="29"/>
    </row>
    <row r="30" spans="1:12" x14ac:dyDescent="0.2">
      <c r="A30" s="31" t="s">
        <v>100</v>
      </c>
      <c r="B30" s="95">
        <f>(C9/100-C18/100)/C7</f>
        <v>12278.80013333333</v>
      </c>
      <c r="C30" s="89" t="s">
        <v>8</v>
      </c>
      <c r="D30" s="94"/>
      <c r="E30" s="94"/>
      <c r="F30" s="94"/>
      <c r="G30" s="29"/>
      <c r="H30" s="29"/>
      <c r="I30" s="29"/>
      <c r="J30" s="29"/>
      <c r="K30" s="29"/>
      <c r="L30" s="29"/>
    </row>
    <row r="31" spans="1:12" x14ac:dyDescent="0.2">
      <c r="A31" s="31" t="s">
        <v>101</v>
      </c>
      <c r="B31" s="95">
        <f>+(F14/100+C18/100)/F12</f>
        <v>8058.9428000000016</v>
      </c>
      <c r="C31" s="89" t="s">
        <v>8</v>
      </c>
      <c r="D31" s="89"/>
      <c r="E31" s="89"/>
      <c r="F31" s="89"/>
    </row>
    <row r="32" spans="1:12" x14ac:dyDescent="0.2">
      <c r="B32" s="88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8" t="s">
        <v>56</v>
      </c>
    </row>
    <row r="54" spans="1:1" x14ac:dyDescent="0.2">
      <c r="A54" s="18"/>
    </row>
    <row r="55" spans="1:1" ht="102" x14ac:dyDescent="0.2">
      <c r="A55" s="17" t="s">
        <v>57</v>
      </c>
    </row>
    <row r="56" spans="1:1" x14ac:dyDescent="0.2">
      <c r="A56" s="17"/>
    </row>
    <row r="57" spans="1:1" ht="63.75" x14ac:dyDescent="0.2">
      <c r="A57" s="17" t="s">
        <v>58</v>
      </c>
    </row>
    <row r="58" spans="1:1" x14ac:dyDescent="0.2">
      <c r="A58" s="18"/>
    </row>
    <row r="59" spans="1:1" ht="51" x14ac:dyDescent="0.2">
      <c r="A59" s="17" t="s">
        <v>59</v>
      </c>
    </row>
    <row r="60" spans="1:1" ht="25.5" x14ac:dyDescent="0.2">
      <c r="A60" s="17" t="s">
        <v>60</v>
      </c>
    </row>
    <row r="61" spans="1:1" ht="89.25" x14ac:dyDescent="0.2">
      <c r="A61" s="17" t="s">
        <v>61</v>
      </c>
    </row>
    <row r="62" spans="1:1" ht="51" x14ac:dyDescent="0.2">
      <c r="A62" s="17" t="s">
        <v>62</v>
      </c>
    </row>
    <row r="63" spans="1:1" ht="25.5" x14ac:dyDescent="0.2">
      <c r="A63" s="17" t="s">
        <v>63</v>
      </c>
    </row>
    <row r="64" spans="1:1" ht="25.5" x14ac:dyDescent="0.2">
      <c r="A64" s="17" t="s">
        <v>64</v>
      </c>
    </row>
    <row r="65" spans="1:1" ht="25.5" x14ac:dyDescent="0.2">
      <c r="A65" s="17" t="s">
        <v>65</v>
      </c>
    </row>
    <row r="66" spans="1:1" ht="102" x14ac:dyDescent="0.2">
      <c r="A66" s="17" t="s">
        <v>66</v>
      </c>
    </row>
    <row r="67" spans="1:1" x14ac:dyDescent="0.2">
      <c r="A67" s="17"/>
    </row>
    <row r="68" spans="1:1" x14ac:dyDescent="0.2">
      <c r="A68" s="17"/>
    </row>
  </sheetData>
  <mergeCells count="14">
    <mergeCell ref="A4:C4"/>
    <mergeCell ref="D4:F4"/>
    <mergeCell ref="A1:F1"/>
    <mergeCell ref="E6:E9"/>
    <mergeCell ref="A5:C5"/>
    <mergeCell ref="D5:F5"/>
    <mergeCell ref="D6:D9"/>
    <mergeCell ref="F6:F9"/>
    <mergeCell ref="A20:F20"/>
    <mergeCell ref="A10:C10"/>
    <mergeCell ref="D10:F10"/>
    <mergeCell ref="A11:A14"/>
    <mergeCell ref="B11:B14"/>
    <mergeCell ref="C11:C14"/>
  </mergeCells>
  <phoneticPr fontId="7" type="noConversion"/>
  <printOptions horizontalCentered="1"/>
  <pageMargins left="0" right="0.15748031496062992" top="0.39370078740157483" bottom="0" header="0" footer="0"/>
  <pageSetup paperSize="9" scale="95" orientation="portrait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G29" sqref="G29"/>
    </sheetView>
  </sheetViews>
  <sheetFormatPr baseColWidth="10" defaultRowHeight="12.75" x14ac:dyDescent="0.2"/>
  <cols>
    <col min="1" max="1" width="47.28515625" style="4" customWidth="1"/>
    <col min="2" max="2" width="11.85546875" style="4" bestFit="1" customWidth="1"/>
    <col min="3" max="4" width="11.42578125" style="4"/>
    <col min="5" max="5" width="11.5703125" style="4" bestFit="1" customWidth="1"/>
    <col min="6" max="6" width="11.42578125" style="31"/>
    <col min="7" max="16384" width="11.42578125" style="4"/>
  </cols>
  <sheetData>
    <row r="1" spans="1:6" x14ac:dyDescent="0.2">
      <c r="A1" s="15" t="s">
        <v>116</v>
      </c>
    </row>
    <row r="2" spans="1:6" x14ac:dyDescent="0.2">
      <c r="A2" s="17"/>
      <c r="C2" s="17"/>
      <c r="F2" s="46"/>
    </row>
    <row r="3" spans="1:6" x14ac:dyDescent="0.2">
      <c r="A3" s="17" t="s">
        <v>117</v>
      </c>
      <c r="D3" s="52">
        <f>110*3.62/40</f>
        <v>9.9550000000000001</v>
      </c>
      <c r="E3" s="4" t="s">
        <v>90</v>
      </c>
      <c r="F3" s="46">
        <f>+D3*81.6</f>
        <v>812.32799999999997</v>
      </c>
    </row>
    <row r="4" spans="1:6" x14ac:dyDescent="0.2">
      <c r="A4" s="17" t="s">
        <v>119</v>
      </c>
      <c r="D4" s="4">
        <f>165*3.62</f>
        <v>597.30000000000007</v>
      </c>
      <c r="F4" s="46">
        <f>+D4*0.02</f>
        <v>11.946000000000002</v>
      </c>
    </row>
    <row r="5" spans="1:6" x14ac:dyDescent="0.2">
      <c r="A5" s="32"/>
      <c r="F5" s="46"/>
    </row>
    <row r="6" spans="1:6" x14ac:dyDescent="0.2">
      <c r="A6" s="17" t="s">
        <v>108</v>
      </c>
      <c r="B6" s="31"/>
      <c r="F6" s="46"/>
    </row>
    <row r="7" spans="1:6" x14ac:dyDescent="0.2">
      <c r="A7" s="17" t="s">
        <v>109</v>
      </c>
      <c r="B7" s="31" t="s">
        <v>67</v>
      </c>
      <c r="D7" s="51">
        <f>3.3*3.62</f>
        <v>11.946</v>
      </c>
      <c r="E7" s="17" t="s">
        <v>91</v>
      </c>
      <c r="F7" s="46">
        <f>+D7*2</f>
        <v>23.891999999999999</v>
      </c>
    </row>
    <row r="8" spans="1:6" x14ac:dyDescent="0.2">
      <c r="A8" s="17" t="s">
        <v>120</v>
      </c>
      <c r="B8" s="31" t="s">
        <v>68</v>
      </c>
      <c r="D8" s="51">
        <f>5.8*3.62</f>
        <v>20.995999999999999</v>
      </c>
      <c r="E8" s="17" t="s">
        <v>92</v>
      </c>
      <c r="F8" s="46">
        <f>+D8*0.5</f>
        <v>10.497999999999999</v>
      </c>
    </row>
    <row r="9" spans="1:6" x14ac:dyDescent="0.2">
      <c r="A9" s="17" t="s">
        <v>110</v>
      </c>
      <c r="B9" s="31" t="s">
        <v>69</v>
      </c>
      <c r="D9" s="34">
        <f>3.62*3.55</f>
        <v>12.850999999999999</v>
      </c>
      <c r="E9" s="17" t="s">
        <v>92</v>
      </c>
      <c r="F9" s="46">
        <f>+D9*3</f>
        <v>38.552999999999997</v>
      </c>
    </row>
    <row r="10" spans="1:6" x14ac:dyDescent="0.2">
      <c r="A10" s="17" t="s">
        <v>118</v>
      </c>
      <c r="B10" s="31" t="s">
        <v>70</v>
      </c>
      <c r="D10" s="51">
        <f>7.68*3.62</f>
        <v>27.801600000000001</v>
      </c>
      <c r="E10" s="17" t="s">
        <v>92</v>
      </c>
      <c r="F10" s="46">
        <f>+D10*1.6</f>
        <v>44.482560000000007</v>
      </c>
    </row>
    <row r="11" spans="1:6" x14ac:dyDescent="0.2">
      <c r="A11" s="17" t="s">
        <v>111</v>
      </c>
      <c r="B11" s="31" t="s">
        <v>71</v>
      </c>
      <c r="D11" s="34">
        <f>6.15*3.62</f>
        <v>22.263000000000002</v>
      </c>
      <c r="E11" s="17" t="s">
        <v>92</v>
      </c>
      <c r="F11" s="46">
        <f>+D11*0.1</f>
        <v>2.2263000000000002</v>
      </c>
    </row>
    <row r="12" spans="1:6" x14ac:dyDescent="0.2">
      <c r="A12" s="17" t="s">
        <v>112</v>
      </c>
      <c r="B12" s="31"/>
      <c r="D12" s="35">
        <f>0.47*3.62</f>
        <v>1.7014</v>
      </c>
      <c r="E12" s="17" t="s">
        <v>90</v>
      </c>
      <c r="F12" s="46">
        <f>+D12*120</f>
        <v>204.16800000000001</v>
      </c>
    </row>
    <row r="13" spans="1:6" x14ac:dyDescent="0.2">
      <c r="A13" s="17" t="s">
        <v>113</v>
      </c>
      <c r="B13" s="31"/>
      <c r="D13" s="51">
        <f>770*3.62/1000</f>
        <v>2.7873999999999999</v>
      </c>
      <c r="F13" s="46">
        <f>+D13*50</f>
        <v>139.37</v>
      </c>
    </row>
    <row r="14" spans="1:6" x14ac:dyDescent="0.2">
      <c r="A14" s="48"/>
      <c r="B14" s="49"/>
      <c r="C14" s="50"/>
      <c r="D14" s="51"/>
      <c r="E14" s="50"/>
      <c r="F14" s="46">
        <f>SUM(F7:F13)</f>
        <v>463.18986000000001</v>
      </c>
    </row>
    <row r="15" spans="1:6" x14ac:dyDescent="0.2">
      <c r="A15" s="17" t="s">
        <v>72</v>
      </c>
      <c r="B15" s="31" t="s">
        <v>73</v>
      </c>
      <c r="D15" s="4">
        <v>152.13999999999999</v>
      </c>
      <c r="E15" s="17" t="s">
        <v>115</v>
      </c>
      <c r="F15" s="47">
        <f>+D15*1.75</f>
        <v>266.245</v>
      </c>
    </row>
    <row r="16" spans="1:6" ht="13.5" thickBot="1" x14ac:dyDescent="0.25">
      <c r="A16" s="17"/>
      <c r="C16" s="32"/>
      <c r="D16" s="32"/>
      <c r="E16" s="32"/>
      <c r="F16" s="55"/>
    </row>
    <row r="17" spans="1:7" ht="13.5" customHeight="1" thickBot="1" x14ac:dyDescent="0.25">
      <c r="A17" s="36"/>
      <c r="B17" s="37"/>
      <c r="C17" s="116" t="s">
        <v>74</v>
      </c>
      <c r="D17" s="119"/>
      <c r="E17" s="116" t="s">
        <v>75</v>
      </c>
      <c r="F17" s="119"/>
    </row>
    <row r="18" spans="1:7" ht="13.5" thickBot="1" x14ac:dyDescent="0.25">
      <c r="A18" s="38" t="s">
        <v>46</v>
      </c>
      <c r="B18" s="39" t="s">
        <v>76</v>
      </c>
      <c r="C18" s="39"/>
      <c r="D18" s="39"/>
      <c r="E18" s="40">
        <v>70</v>
      </c>
      <c r="F18" s="40"/>
    </row>
    <row r="19" spans="1:7" ht="13.5" thickBot="1" x14ac:dyDescent="0.25">
      <c r="A19" s="38" t="s">
        <v>121</v>
      </c>
      <c r="B19" s="39" t="s">
        <v>122</v>
      </c>
      <c r="C19" s="39"/>
      <c r="D19" s="39"/>
      <c r="E19" s="54">
        <f>186/1000*100*3.62</f>
        <v>67.332000000000008</v>
      </c>
      <c r="F19" s="40"/>
    </row>
    <row r="20" spans="1:7" ht="13.5" thickBot="1" x14ac:dyDescent="0.25">
      <c r="A20" s="38" t="s">
        <v>77</v>
      </c>
      <c r="B20" s="39" t="s">
        <v>47</v>
      </c>
      <c r="C20" s="39"/>
      <c r="D20" s="39"/>
      <c r="E20" s="40">
        <f>+E18*E19</f>
        <v>4713.2400000000007</v>
      </c>
      <c r="F20" s="40"/>
    </row>
    <row r="21" spans="1:7" ht="13.5" thickBot="1" x14ac:dyDescent="0.25">
      <c r="A21" s="38" t="s">
        <v>78</v>
      </c>
      <c r="B21" s="39" t="s">
        <v>47</v>
      </c>
      <c r="C21" s="39"/>
      <c r="D21" s="39"/>
      <c r="E21" s="40"/>
      <c r="F21" s="40"/>
    </row>
    <row r="22" spans="1:7" ht="13.5" thickBot="1" x14ac:dyDescent="0.25">
      <c r="A22" s="38" t="s">
        <v>79</v>
      </c>
      <c r="B22" s="39" t="s">
        <v>47</v>
      </c>
      <c r="C22" s="39"/>
      <c r="D22" s="39"/>
      <c r="E22" s="40"/>
      <c r="F22" s="40"/>
    </row>
    <row r="23" spans="1:7" x14ac:dyDescent="0.2">
      <c r="A23" s="41" t="s">
        <v>114</v>
      </c>
      <c r="B23" s="120" t="s">
        <v>47</v>
      </c>
      <c r="C23" s="120"/>
      <c r="D23" s="120"/>
      <c r="E23" s="53"/>
      <c r="F23" s="122"/>
    </row>
    <row r="24" spans="1:7" x14ac:dyDescent="0.2">
      <c r="A24" s="41" t="s">
        <v>80</v>
      </c>
      <c r="B24" s="121"/>
      <c r="C24" s="121"/>
      <c r="D24" s="121"/>
      <c r="E24" s="42">
        <f>+F15</f>
        <v>266.245</v>
      </c>
      <c r="F24" s="123"/>
    </row>
    <row r="25" spans="1:7" x14ac:dyDescent="0.2">
      <c r="A25" s="41" t="s">
        <v>81</v>
      </c>
      <c r="B25" s="121"/>
      <c r="C25" s="121"/>
      <c r="D25" s="121"/>
      <c r="E25" s="42">
        <f>+F3</f>
        <v>812.32799999999997</v>
      </c>
      <c r="F25" s="123"/>
    </row>
    <row r="26" spans="1:7" x14ac:dyDescent="0.2">
      <c r="A26" s="41" t="s">
        <v>82</v>
      </c>
      <c r="B26" s="121"/>
      <c r="C26" s="121"/>
      <c r="D26" s="121"/>
      <c r="E26" s="42">
        <f>+F4</f>
        <v>11.946000000000002</v>
      </c>
      <c r="F26" s="123"/>
    </row>
    <row r="27" spans="1:7" x14ac:dyDescent="0.2">
      <c r="A27" s="41" t="s">
        <v>83</v>
      </c>
      <c r="B27" s="121"/>
      <c r="C27" s="121"/>
      <c r="D27" s="121"/>
      <c r="E27" s="42">
        <f>+F7+F8+F9</f>
        <v>72.942999999999998</v>
      </c>
      <c r="F27" s="123"/>
    </row>
    <row r="28" spans="1:7" x14ac:dyDescent="0.2">
      <c r="A28" s="41" t="s">
        <v>84</v>
      </c>
      <c r="B28" s="121"/>
      <c r="C28" s="121"/>
      <c r="D28" s="121"/>
      <c r="E28" s="42">
        <f>+F10+F11</f>
        <v>46.708860000000008</v>
      </c>
      <c r="F28" s="123"/>
    </row>
    <row r="29" spans="1:7" x14ac:dyDescent="0.2">
      <c r="A29" s="43" t="s">
        <v>95</v>
      </c>
      <c r="B29" s="43"/>
      <c r="C29" s="43"/>
      <c r="D29" s="43"/>
      <c r="E29" s="44">
        <f>+F12+F13</f>
        <v>343.53800000000001</v>
      </c>
      <c r="F29" s="45"/>
      <c r="G29" s="5">
        <f>360*3.62</f>
        <v>1303.2</v>
      </c>
    </row>
    <row r="30" spans="1:7" ht="13.5" thickBot="1" x14ac:dyDescent="0.25">
      <c r="A30" s="38" t="s">
        <v>85</v>
      </c>
      <c r="B30" s="39" t="s">
        <v>47</v>
      </c>
      <c r="C30" s="39"/>
      <c r="D30" s="39"/>
      <c r="E30" s="40"/>
      <c r="F30" s="40"/>
    </row>
    <row r="31" spans="1:7" ht="13.5" thickBot="1" x14ac:dyDescent="0.25">
      <c r="A31" s="38" t="s">
        <v>86</v>
      </c>
      <c r="B31" s="39" t="s">
        <v>47</v>
      </c>
      <c r="C31" s="39"/>
      <c r="D31" s="39"/>
      <c r="E31" s="40"/>
      <c r="F31" s="40"/>
    </row>
    <row r="32" spans="1:7" ht="13.5" thickBot="1" x14ac:dyDescent="0.25">
      <c r="A32" s="38" t="s">
        <v>87</v>
      </c>
      <c r="B32" s="39"/>
      <c r="C32" s="39"/>
      <c r="D32" s="39"/>
      <c r="E32" s="40"/>
      <c r="F32" s="40"/>
    </row>
    <row r="33" spans="1:6" ht="13.5" thickBot="1" x14ac:dyDescent="0.25">
      <c r="A33" s="38" t="s">
        <v>88</v>
      </c>
      <c r="B33" s="39"/>
      <c r="C33" s="39"/>
      <c r="D33" s="39"/>
      <c r="E33" s="40"/>
      <c r="F33" s="40"/>
    </row>
    <row r="34" spans="1:6" ht="13.5" thickBot="1" x14ac:dyDescent="0.25">
      <c r="A34" s="38" t="s">
        <v>89</v>
      </c>
      <c r="B34" s="39" t="s">
        <v>76</v>
      </c>
      <c r="C34" s="39"/>
      <c r="D34" s="39"/>
      <c r="E34" s="40"/>
      <c r="F34" s="40"/>
    </row>
    <row r="35" spans="1:6" x14ac:dyDescent="0.2">
      <c r="E35" s="31"/>
    </row>
    <row r="36" spans="1:6" x14ac:dyDescent="0.2">
      <c r="E36" s="31"/>
    </row>
    <row r="37" spans="1:6" x14ac:dyDescent="0.2">
      <c r="E37" s="31"/>
    </row>
    <row r="38" spans="1:6" x14ac:dyDescent="0.2">
      <c r="E38" s="31"/>
    </row>
    <row r="39" spans="1:6" x14ac:dyDescent="0.2">
      <c r="E39" s="31"/>
    </row>
    <row r="40" spans="1:6" x14ac:dyDescent="0.2">
      <c r="E40" s="31"/>
    </row>
    <row r="41" spans="1:6" x14ac:dyDescent="0.2">
      <c r="E41" s="31"/>
    </row>
    <row r="42" spans="1:6" x14ac:dyDescent="0.2">
      <c r="E42" s="31"/>
    </row>
    <row r="43" spans="1:6" x14ac:dyDescent="0.2">
      <c r="E43" s="31"/>
    </row>
    <row r="44" spans="1:6" x14ac:dyDescent="0.2">
      <c r="E44" s="31"/>
    </row>
    <row r="45" spans="1:6" x14ac:dyDescent="0.2">
      <c r="E45" s="31"/>
    </row>
    <row r="46" spans="1:6" x14ac:dyDescent="0.2">
      <c r="E46" s="31"/>
    </row>
    <row r="47" spans="1:6" x14ac:dyDescent="0.2">
      <c r="E47" s="31"/>
    </row>
    <row r="48" spans="1:6" x14ac:dyDescent="0.2">
      <c r="E48" s="31"/>
    </row>
    <row r="49" spans="5:5" x14ac:dyDescent="0.2">
      <c r="E49" s="31"/>
    </row>
    <row r="50" spans="5:5" x14ac:dyDescent="0.2">
      <c r="E50" s="31"/>
    </row>
  </sheetData>
  <mergeCells count="6">
    <mergeCell ref="C17:D17"/>
    <mergeCell ref="E17:F17"/>
    <mergeCell ref="B23:B28"/>
    <mergeCell ref="C23:C28"/>
    <mergeCell ref="D23:D28"/>
    <mergeCell ref="F23:F28"/>
  </mergeCells>
  <phoneticPr fontId="7" type="noConversion"/>
  <pageMargins left="0.75" right="0.75" top="1" bottom="1" header="0" footer="0"/>
  <pageSetup paperSize="9" orientation="landscape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MB</vt:lpstr>
      <vt:lpstr>CORDONNIER</vt:lpstr>
      <vt:lpstr>Maiz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Rolando Navarro</dc:creator>
  <cp:lastModifiedBy>Eleonora</cp:lastModifiedBy>
  <cp:lastPrinted>2018-06-06T22:21:47Z</cp:lastPrinted>
  <dcterms:created xsi:type="dcterms:W3CDTF">1998-05-27T12:38:00Z</dcterms:created>
  <dcterms:modified xsi:type="dcterms:W3CDTF">2020-04-11T20:10:08Z</dcterms:modified>
</cp:coreProperties>
</file>