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 firstSheet="1" activeTab="1"/>
  </bookViews>
  <sheets>
    <sheet name="MB" sheetId="8" state="hidden" r:id="rId1"/>
    <sheet name="MB (Recriadas)" sheetId="13" r:id="rId2"/>
    <sheet name="CA" sheetId="11" state="hidden" r:id="rId3"/>
    <sheet name="CORDONNIER" sheetId="9" r:id="rId4"/>
    <sheet name="Maiz" sheetId="10" state="hidden" r:id="rId5"/>
  </sheets>
  <calcPr calcId="162913"/>
</workbook>
</file>

<file path=xl/calcChain.xml><?xml version="1.0" encoding="utf-8"?>
<calcChain xmlns="http://schemas.openxmlformats.org/spreadsheetml/2006/main">
  <c r="C37" i="13" l="1"/>
  <c r="D56" i="13" s="1"/>
  <c r="B37" i="13"/>
  <c r="B56" i="13" s="1"/>
  <c r="B16" i="13"/>
  <c r="D63" i="13"/>
  <c r="D59" i="13"/>
  <c r="D58" i="13"/>
  <c r="D57" i="13"/>
  <c r="D55" i="13"/>
  <c r="D54" i="13"/>
  <c r="D42" i="13"/>
  <c r="C32" i="13"/>
  <c r="C31" i="13"/>
  <c r="C19" i="13"/>
  <c r="B19" i="13"/>
  <c r="B48" i="13" s="1"/>
  <c r="C8" i="13"/>
  <c r="B8" i="13"/>
  <c r="B43" i="13" s="1"/>
  <c r="C7" i="9" s="1"/>
  <c r="B5" i="13"/>
  <c r="D6" i="11" s="1"/>
  <c r="B5" i="8"/>
  <c r="C8" i="8"/>
  <c r="E21" i="11"/>
  <c r="C21" i="11"/>
  <c r="D48" i="13" l="1"/>
  <c r="C56" i="13"/>
  <c r="B9" i="13"/>
  <c r="C11" i="13"/>
  <c r="C21" i="13" s="1"/>
  <c r="D49" i="13" s="1"/>
  <c r="B61" i="13"/>
  <c r="C20" i="11"/>
  <c r="E20" i="11" s="1"/>
  <c r="E22" i="11" s="1"/>
  <c r="E23" i="11" s="1"/>
  <c r="B16" i="8" s="1"/>
  <c r="B41" i="8" s="1"/>
  <c r="C41" i="8" s="1"/>
  <c r="E19" i="11"/>
  <c r="E18" i="11"/>
  <c r="E17" i="11"/>
  <c r="D36" i="8"/>
  <c r="D42" i="8"/>
  <c r="E42" i="8" s="1"/>
  <c r="B10" i="8"/>
  <c r="D31" i="11"/>
  <c r="D32" i="11" s="1"/>
  <c r="B36" i="11" s="1"/>
  <c r="C28" i="8" s="1"/>
  <c r="B24" i="8"/>
  <c r="C45" i="11"/>
  <c r="E45" i="11" s="1"/>
  <c r="E43" i="11"/>
  <c r="E44" i="11"/>
  <c r="E42" i="11"/>
  <c r="E33" i="11"/>
  <c r="C32" i="11"/>
  <c r="C31" i="11"/>
  <c r="C30" i="11"/>
  <c r="B9" i="8"/>
  <c r="B35" i="8" s="1"/>
  <c r="B9" i="11"/>
  <c r="B31" i="13" s="1"/>
  <c r="C4" i="11"/>
  <c r="E4" i="11" s="1"/>
  <c r="C5" i="11"/>
  <c r="E5" i="11" s="1"/>
  <c r="C6" i="11"/>
  <c r="C3" i="11"/>
  <c r="E3" i="11" s="1"/>
  <c r="B36" i="8"/>
  <c r="C9" i="8"/>
  <c r="D35" i="8" s="1"/>
  <c r="B8" i="8"/>
  <c r="C9" i="13" l="1"/>
  <c r="C69" i="13"/>
  <c r="D69" i="13"/>
  <c r="C61" i="13"/>
  <c r="E69" i="13"/>
  <c r="F69" i="13"/>
  <c r="B69" i="13"/>
  <c r="C58" i="13"/>
  <c r="C59" i="13"/>
  <c r="C60" i="13"/>
  <c r="B27" i="13"/>
  <c r="B49" i="13" s="1"/>
  <c r="C49" i="13" s="1"/>
  <c r="C63" i="13"/>
  <c r="C54" i="13"/>
  <c r="C57" i="13"/>
  <c r="C55" i="13"/>
  <c r="C51" i="13"/>
  <c r="E49" i="13"/>
  <c r="D47" i="13"/>
  <c r="E47" i="13" s="1"/>
  <c r="C48" i="13"/>
  <c r="D61" i="13"/>
  <c r="B41" i="13"/>
  <c r="E47" i="11"/>
  <c r="E48" i="11" s="1"/>
  <c r="C16" i="8" s="1"/>
  <c r="D41" i="8" s="1"/>
  <c r="E41" i="8" s="1"/>
  <c r="B28" i="8"/>
  <c r="B37" i="11"/>
  <c r="C29" i="8" s="1"/>
  <c r="D40" i="8" s="1"/>
  <c r="E40" i="8" s="1"/>
  <c r="E32" i="11"/>
  <c r="D37" i="8"/>
  <c r="E37" i="8" s="1"/>
  <c r="B37" i="8"/>
  <c r="E31" i="11"/>
  <c r="E30" i="11"/>
  <c r="B10" i="11"/>
  <c r="B32" i="13" s="1"/>
  <c r="B47" i="13" s="1"/>
  <c r="B42" i="8"/>
  <c r="C42" i="8" s="1"/>
  <c r="C37" i="8"/>
  <c r="E6" i="11"/>
  <c r="E7" i="11" s="1"/>
  <c r="B54" i="8"/>
  <c r="R50" i="8" s="1"/>
  <c r="C47" i="13" l="1"/>
  <c r="B50" i="13"/>
  <c r="F6" i="9" s="1"/>
  <c r="D41" i="13"/>
  <c r="D44" i="13" s="1"/>
  <c r="E51" i="13"/>
  <c r="E63" i="13"/>
  <c r="E60" i="13"/>
  <c r="E57" i="13"/>
  <c r="E58" i="13"/>
  <c r="E55" i="13"/>
  <c r="E59" i="13"/>
  <c r="E56" i="13"/>
  <c r="E54" i="13"/>
  <c r="E48" i="13"/>
  <c r="D50" i="13"/>
  <c r="C11" i="9" s="1"/>
  <c r="B44" i="13"/>
  <c r="C6" i="9"/>
  <c r="C9" i="9" s="1"/>
  <c r="C44" i="13"/>
  <c r="E61" i="13"/>
  <c r="B29" i="8"/>
  <c r="B40" i="8" s="1"/>
  <c r="C40" i="8" s="1"/>
  <c r="C43" i="8" s="1"/>
  <c r="C45" i="8" s="1"/>
  <c r="C57" i="8" s="1"/>
  <c r="B38" i="11"/>
  <c r="E34" i="11"/>
  <c r="B11" i="11"/>
  <c r="G29" i="10"/>
  <c r="D56" i="8"/>
  <c r="E19" i="10"/>
  <c r="E20" i="10" s="1"/>
  <c r="D13" i="10"/>
  <c r="F13" i="10" s="1"/>
  <c r="D7" i="10"/>
  <c r="F7" i="10" s="1"/>
  <c r="D8" i="10"/>
  <c r="D4" i="10"/>
  <c r="F4" i="10" s="1"/>
  <c r="E26" i="10" s="1"/>
  <c r="D10" i="10"/>
  <c r="D3" i="10"/>
  <c r="F3" i="10" s="1"/>
  <c r="E25" i="10" s="1"/>
  <c r="F15" i="10"/>
  <c r="E24" i="10" s="1"/>
  <c r="D12" i="10"/>
  <c r="F12" i="10" s="1"/>
  <c r="D11" i="10"/>
  <c r="F11" i="10" s="1"/>
  <c r="D9" i="10"/>
  <c r="F9" i="10" s="1"/>
  <c r="F8" i="10"/>
  <c r="F10" i="10"/>
  <c r="D50" i="8"/>
  <c r="E50" i="8" s="1"/>
  <c r="D51" i="8"/>
  <c r="D52" i="8"/>
  <c r="D48" i="8"/>
  <c r="D47" i="8"/>
  <c r="E47" i="8" s="1"/>
  <c r="C47" i="8"/>
  <c r="C48" i="8"/>
  <c r="C50" i="8"/>
  <c r="J44" i="8"/>
  <c r="H42" i="8"/>
  <c r="H43" i="8" s="1"/>
  <c r="H45" i="8" s="1"/>
  <c r="C56" i="8"/>
  <c r="C51" i="8"/>
  <c r="E44" i="8"/>
  <c r="C44" i="8"/>
  <c r="D68" i="13" l="1"/>
  <c r="E68" i="13"/>
  <c r="B68" i="13"/>
  <c r="F68" i="13"/>
  <c r="C68" i="13"/>
  <c r="C50" i="13"/>
  <c r="B70" i="13" s="1"/>
  <c r="B71" i="13" s="1"/>
  <c r="E50" i="13"/>
  <c r="D52" i="13"/>
  <c r="B33" i="9" s="1"/>
  <c r="E44" i="13"/>
  <c r="F11" i="9"/>
  <c r="F14" i="9" s="1"/>
  <c r="D62" i="13"/>
  <c r="E62" i="13" s="1"/>
  <c r="B52" i="13"/>
  <c r="E29" i="10"/>
  <c r="E56" i="8"/>
  <c r="E28" i="10"/>
  <c r="C61" i="8"/>
  <c r="E48" i="8"/>
  <c r="J47" i="8"/>
  <c r="B43" i="8"/>
  <c r="E53" i="8"/>
  <c r="C52" i="8"/>
  <c r="E52" i="8"/>
  <c r="E51" i="8"/>
  <c r="C63" i="8"/>
  <c r="B63" i="8"/>
  <c r="D63" i="8"/>
  <c r="E27" i="10"/>
  <c r="I46" i="8"/>
  <c r="E63" i="8"/>
  <c r="F14" i="10"/>
  <c r="C53" i="8"/>
  <c r="E70" i="13" l="1"/>
  <c r="E71" i="13" s="1"/>
  <c r="D70" i="13"/>
  <c r="D71" i="13" s="1"/>
  <c r="D65" i="13"/>
  <c r="E52" i="13"/>
  <c r="E64" i="13" s="1"/>
  <c r="C70" i="13"/>
  <c r="C71" i="13" s="1"/>
  <c r="F70" i="13"/>
  <c r="F71" i="13" s="1"/>
  <c r="B38" i="9"/>
  <c r="C52" i="13"/>
  <c r="C64" i="13" s="1"/>
  <c r="B65" i="13"/>
  <c r="B62" i="13"/>
  <c r="C62" i="13" s="1"/>
  <c r="B45" i="8"/>
  <c r="B58" i="8" s="1"/>
  <c r="C54" i="8"/>
  <c r="B62" i="8"/>
  <c r="B64" i="8" s="1"/>
  <c r="D62" i="8"/>
  <c r="D64" i="8" s="1"/>
  <c r="D54" i="8"/>
  <c r="C62" i="8"/>
  <c r="C64" i="8" s="1"/>
  <c r="E62" i="8"/>
  <c r="E64" i="8" s="1"/>
  <c r="D43" i="8"/>
  <c r="D45" i="8" s="1"/>
  <c r="D58" i="8" s="1"/>
  <c r="E43" i="8"/>
  <c r="E45" i="8" s="1"/>
  <c r="B55" i="8" l="1"/>
  <c r="E61" i="8"/>
  <c r="E54" i="8"/>
  <c r="B61" i="8"/>
  <c r="D61" i="8"/>
  <c r="C18" i="9"/>
  <c r="B24" i="9" s="1"/>
  <c r="R48" i="8" l="1"/>
  <c r="R51" i="8" s="1"/>
  <c r="S50" i="8"/>
  <c r="D55" i="8"/>
  <c r="C55" i="8"/>
  <c r="B25" i="9"/>
  <c r="E57" i="8" l="1"/>
  <c r="S48" i="8"/>
  <c r="S51" i="8" s="1"/>
  <c r="E55" i="8"/>
</calcChain>
</file>

<file path=xl/sharedStrings.xml><?xml version="1.0" encoding="utf-8"?>
<sst xmlns="http://schemas.openxmlformats.org/spreadsheetml/2006/main" count="286" uniqueCount="179">
  <si>
    <t>Amortizaciones Directas</t>
  </si>
  <si>
    <t>Comunas Rurales</t>
  </si>
  <si>
    <t>Impuesto Inmobiliario</t>
  </si>
  <si>
    <t>Patentes y seguros</t>
  </si>
  <si>
    <t>Cons. De mejoras fundiarias</t>
  </si>
  <si>
    <t>Total Gastos indirectos</t>
  </si>
  <si>
    <t>Total Amortizaciones Indirectas</t>
  </si>
  <si>
    <t>Tn/Ha</t>
  </si>
  <si>
    <t>$/Tn</t>
  </si>
  <si>
    <t>$/Ha</t>
  </si>
  <si>
    <t>Composición de los Costos Directos Totales</t>
  </si>
  <si>
    <t>Composición Gastos Directos:</t>
  </si>
  <si>
    <t>CFT</t>
  </si>
  <si>
    <t>$</t>
  </si>
  <si>
    <t>MB</t>
  </si>
  <si>
    <t>Total Gastos Directos</t>
  </si>
  <si>
    <t>Amortizaciones Directas y Fijas</t>
  </si>
  <si>
    <t>Amortizaciones Indirectas  y Fijas</t>
  </si>
  <si>
    <t>Gastos Indirectos y Fijos</t>
  </si>
  <si>
    <t>Intereses indirectos y fijos</t>
  </si>
  <si>
    <t>MB Unitario</t>
  </si>
  <si>
    <t xml:space="preserve">Retorno </t>
  </si>
  <si>
    <t>Xha</t>
  </si>
  <si>
    <t>Qeq</t>
  </si>
  <si>
    <t>IB</t>
  </si>
  <si>
    <t xml:space="preserve">Composición de los Gastos Indirectos: </t>
  </si>
  <si>
    <t>INGRESO</t>
  </si>
  <si>
    <t>CVT</t>
  </si>
  <si>
    <t>CT</t>
  </si>
  <si>
    <t xml:space="preserve">Total Gastos Directos </t>
  </si>
  <si>
    <t>Movilidad y Mantenimiento Camioneta</t>
  </si>
  <si>
    <t>SUPERFICIE</t>
  </si>
  <si>
    <t>HIPOTESIS:</t>
  </si>
  <si>
    <t>GANANCIAS</t>
  </si>
  <si>
    <t>PERDIDAS</t>
  </si>
  <si>
    <t>a.- Productos adicionales</t>
  </si>
  <si>
    <t>c.- Gastos Adicionales</t>
  </si>
  <si>
    <t>Rendimiento</t>
  </si>
  <si>
    <t>$/ha</t>
  </si>
  <si>
    <t>d.- Gastos suprimidos</t>
  </si>
  <si>
    <t>b.- Ingresos Suprimidos</t>
  </si>
  <si>
    <t>Balance:</t>
  </si>
  <si>
    <t>S = (a+d) - (c+b)</t>
  </si>
  <si>
    <t>=</t>
  </si>
  <si>
    <t>Precio de indiferencia</t>
  </si>
  <si>
    <t xml:space="preserve">      2  l/ha</t>
  </si>
  <si>
    <t xml:space="preserve">     0,5  l/ha</t>
  </si>
  <si>
    <t xml:space="preserve">     3 l/ha</t>
  </si>
  <si>
    <t>1,6  l/ha</t>
  </si>
  <si>
    <t>0,1  l/ha</t>
  </si>
  <si>
    <t xml:space="preserve">Labores : </t>
  </si>
  <si>
    <t>1,75  UTA/ha</t>
  </si>
  <si>
    <t>CONVENCIONAL</t>
  </si>
  <si>
    <t>DIRECTA</t>
  </si>
  <si>
    <t>Q/ha</t>
  </si>
  <si>
    <t>1. Ingreso Bruto (IB)</t>
  </si>
  <si>
    <t>2. Gastos Comerc. (%)</t>
  </si>
  <si>
    <t>3. Ingreso Neto (1-2)</t>
  </si>
  <si>
    <t>a.-Labores</t>
  </si>
  <si>
    <t>b.- Semilla</t>
  </si>
  <si>
    <t>c.- Curasemilla</t>
  </si>
  <si>
    <t>c.- Herbicidas</t>
  </si>
  <si>
    <t>d.- Insecticidas</t>
  </si>
  <si>
    <t>5. Cosecha ( 9% s/IB )</t>
  </si>
  <si>
    <t>6. Margen Bruto ( 3-4-5 )</t>
  </si>
  <si>
    <t>7. Estructura</t>
  </si>
  <si>
    <t>8. Margen Neto</t>
  </si>
  <si>
    <t>7. Rto. Indiferencia (4+5)/ Precio Neto</t>
  </si>
  <si>
    <t>$/kg</t>
  </si>
  <si>
    <t>$/l</t>
  </si>
  <si>
    <t xml:space="preserve"> $/l</t>
  </si>
  <si>
    <t>e.- Fertilizantes</t>
  </si>
  <si>
    <t>Soja:</t>
  </si>
  <si>
    <t>Maíz:</t>
  </si>
  <si>
    <t>Superficie</t>
  </si>
  <si>
    <t>Precio = IB ($/ha) - S ($/ha)/ Rto (Tn/ha)</t>
  </si>
  <si>
    <t>DETERMINACION DEL MARGEN BRUTO DE UN ESTABLECIMIENTO</t>
  </si>
  <si>
    <r>
      <t xml:space="preserve">II.- </t>
    </r>
    <r>
      <rPr>
        <u/>
        <sz val="10"/>
        <rFont val="Arial"/>
        <family val="2"/>
      </rPr>
      <t>Directa</t>
    </r>
  </si>
  <si>
    <t xml:space="preserve">¨       Glifosato : </t>
  </si>
  <si>
    <t>¨       Atrazina :</t>
  </si>
  <si>
    <t xml:space="preserve">¨       Cipermetrina : </t>
  </si>
  <si>
    <t>¨       UREA :             120  KG/ha</t>
  </si>
  <si>
    <t xml:space="preserve">¨       PDA :                  50 KG/ha       </t>
  </si>
  <si>
    <t>4. Gastos Impl.  ( å abcd)</t>
  </si>
  <si>
    <t>$/UTA</t>
  </si>
  <si>
    <r>
      <t xml:space="preserve">MARGEN BRUTO MAÍZ </t>
    </r>
    <r>
      <rPr>
        <sz val="10"/>
        <rFont val="Arial"/>
        <family val="2"/>
      </rPr>
      <t xml:space="preserve"> </t>
    </r>
  </si>
  <si>
    <t>Semilla  MG: 81,6 Kgs/ha</t>
  </si>
  <si>
    <t xml:space="preserve">¨       Acetoclor 84%  Guardian: </t>
  </si>
  <si>
    <t xml:space="preserve">Curasemilla : 0,02 Kg/ha     Gaucho 60% FS            </t>
  </si>
  <si>
    <t>¨       2,4 D 100 % Herbicida:</t>
  </si>
  <si>
    <t xml:space="preserve">Precio </t>
  </si>
  <si>
    <t>$/Q</t>
  </si>
  <si>
    <t>Rentabilidad Parcial</t>
  </si>
  <si>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ESQUEMA DE GANANCIAS Y PERDIDAS</t>
    </r>
  </si>
  <si>
    <t xml:space="preserve"> precio esperado</t>
  </si>
  <si>
    <t>Margen Neto</t>
  </si>
  <si>
    <t>Superficie de Equilibrio</t>
  </si>
  <si>
    <t>Margen Bruto</t>
  </si>
  <si>
    <t>Ingreso Bruto (IB ó VBP)</t>
  </si>
  <si>
    <t>,,</t>
  </si>
  <si>
    <t>soja</t>
  </si>
  <si>
    <t>maíz</t>
  </si>
  <si>
    <t>MB u ($/ha)</t>
  </si>
  <si>
    <t>Superficie equilibrio</t>
  </si>
  <si>
    <t>Parrilleros</t>
  </si>
  <si>
    <t>Ponedoras</t>
  </si>
  <si>
    <t>Producción esperada</t>
  </si>
  <si>
    <r>
      <t>m</t>
    </r>
    <r>
      <rPr>
        <b/>
        <vertAlign val="superscript"/>
        <sz val="9"/>
        <rFont val="Arial"/>
        <family val="2"/>
      </rPr>
      <t>2</t>
    </r>
  </si>
  <si>
    <t>$/m2</t>
  </si>
  <si>
    <t>Total</t>
  </si>
  <si>
    <t>Alimentación</t>
  </si>
  <si>
    <t>Sanidad</t>
  </si>
  <si>
    <t>Otros</t>
  </si>
  <si>
    <t>Asistencia Técnica</t>
  </si>
  <si>
    <t>PRODUCTOR DE   AVICOLA - Rio Nio - 2020</t>
  </si>
  <si>
    <t>Cantidad</t>
  </si>
  <si>
    <t>Pollitos BB ($/unidad)</t>
  </si>
  <si>
    <t>Alimentos</t>
  </si>
  <si>
    <t>Consumo (Kg/Animal)</t>
  </si>
  <si>
    <t>Precio ($/Kg)</t>
  </si>
  <si>
    <t>Sanidad ($/unidad)</t>
  </si>
  <si>
    <t>Gas</t>
  </si>
  <si>
    <t>Electricidad</t>
  </si>
  <si>
    <t>Maples</t>
  </si>
  <si>
    <t>Cantidad de Garrafas</t>
  </si>
  <si>
    <t>Precio ($/Garrafa)</t>
  </si>
  <si>
    <t>Produccion (docenas/año ; Kg/año)</t>
  </si>
  <si>
    <t>número de tandas/año</t>
  </si>
  <si>
    <t>Indice de postura</t>
  </si>
  <si>
    <t>Peso a la Faena (Kg/pollo)</t>
  </si>
  <si>
    <t>Precio ($/unidad)</t>
  </si>
  <si>
    <t>Precio Esperado ($/Docena ; $/Kg)</t>
  </si>
  <si>
    <t>alimento 0-6 semanas</t>
  </si>
  <si>
    <t>alimento 7-15 semanas</t>
  </si>
  <si>
    <t>alimento prepostura</t>
  </si>
  <si>
    <t>Consumo</t>
  </si>
  <si>
    <t>Precio/Bolsa</t>
  </si>
  <si>
    <t>Precio/Kg</t>
  </si>
  <si>
    <t>Gasto</t>
  </si>
  <si>
    <t>Consumo Total</t>
  </si>
  <si>
    <t>Precio Ponderado/Kg</t>
  </si>
  <si>
    <t>Mano de Obra</t>
  </si>
  <si>
    <t>Hembra Recriada</t>
  </si>
  <si>
    <t>Enrofloxacina x 1 Lt (laboratorio ruminal)</t>
  </si>
  <si>
    <t>Ucarsan x 1 litro</t>
  </si>
  <si>
    <t>Viruta prensada x fardo</t>
  </si>
  <si>
    <t>$/unidad</t>
  </si>
  <si>
    <t>Maples verdes x 126 unidades (huevo grande)</t>
  </si>
  <si>
    <t xml:space="preserve">Alimento Preiniciador (0 a 15 dias) </t>
  </si>
  <si>
    <t>Alimento iniciador (15 a 30 días)</t>
  </si>
  <si>
    <t xml:space="preserve">Alimento terminador ( a faena) </t>
  </si>
  <si>
    <t>Pollitas BB</t>
  </si>
  <si>
    <t>Tifus</t>
  </si>
  <si>
    <t>Meses</t>
  </si>
  <si>
    <t>Dias</t>
  </si>
  <si>
    <t>número de tandas/ciclo</t>
  </si>
  <si>
    <t>Produccion (docenas/ciclo ; Kg/ciclo)</t>
  </si>
  <si>
    <t>Pollitas Recriadas</t>
  </si>
  <si>
    <t>Postura</t>
  </si>
  <si>
    <t>Salario peon general ($/mes)</t>
  </si>
  <si>
    <t>Valor de la mano de obra en el periodo</t>
  </si>
  <si>
    <t>$/docena</t>
  </si>
  <si>
    <t>$/Kg</t>
  </si>
  <si>
    <t>Producción de Equilibrio</t>
  </si>
  <si>
    <t>Ingreso por refugo</t>
  </si>
  <si>
    <t>Gallinas ponedoras de descarte ($/Kg)</t>
  </si>
  <si>
    <t>CONVIENE PRODUCIR HUEVOS</t>
  </si>
  <si>
    <t>ingreso por venta de huevo</t>
  </si>
  <si>
    <t>ingreso por refugo</t>
  </si>
  <si>
    <t>$/ciclo</t>
  </si>
  <si>
    <t>Gastos directos de producción de huevos</t>
  </si>
  <si>
    <t>Gastos directos de producción de pollos</t>
  </si>
  <si>
    <t>ingreso por venta de pollos</t>
  </si>
  <si>
    <t>Rendimiento de indiferencia de huevo:</t>
  </si>
  <si>
    <t>Rto= (IB ($/Ha) - S ($/ha))/ Precio ($/Tn)</t>
  </si>
  <si>
    <t>$/Docena</t>
  </si>
  <si>
    <t>Huevos:</t>
  </si>
  <si>
    <t>Kg de pollo</t>
  </si>
  <si>
    <t>Duración del 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</si>
</sst>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#,##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7"/>
      <name val="Times New Roman"/>
      <family val="1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164" fontId="2" fillId="0" borderId="0" xfId="1" applyFont="1"/>
    <xf numFmtId="164" fontId="3" fillId="0" borderId="0" xfId="1" applyFont="1"/>
    <xf numFmtId="165" fontId="3" fillId="0" borderId="0" xfId="1" applyNumberFormat="1" applyFont="1"/>
    <xf numFmtId="0" fontId="6" fillId="0" borderId="0" xfId="0" applyFont="1"/>
    <xf numFmtId="1" fontId="6" fillId="0" borderId="0" xfId="0" applyNumberFormat="1" applyFont="1"/>
    <xf numFmtId="164" fontId="3" fillId="0" borderId="1" xfId="1" applyFont="1" applyBorder="1" applyAlignment="1">
      <alignment horizontal="center"/>
    </xf>
    <xf numFmtId="164" fontId="2" fillId="0" borderId="2" xfId="1" applyFont="1" applyBorder="1"/>
    <xf numFmtId="164" fontId="3" fillId="0" borderId="3" xfId="1" applyFont="1" applyBorder="1"/>
    <xf numFmtId="0" fontId="6" fillId="0" borderId="3" xfId="0" applyFont="1" applyFill="1" applyBorder="1" applyAlignment="1">
      <alignment horizontal="right"/>
    </xf>
    <xf numFmtId="164" fontId="4" fillId="0" borderId="3" xfId="1" applyFont="1" applyBorder="1"/>
    <xf numFmtId="164" fontId="2" fillId="0" borderId="3" xfId="1" applyFont="1" applyBorder="1" applyAlignment="1">
      <alignment horizontal="right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0" xfId="0" applyFont="1"/>
    <xf numFmtId="0" fontId="8" fillId="0" borderId="0" xfId="0" applyFont="1" applyAlignment="1">
      <alignment wrapText="1"/>
    </xf>
    <xf numFmtId="0" fontId="6" fillId="0" borderId="0" xfId="0" applyFont="1" applyAlignment="1">
      <alignment horizontal="justify"/>
    </xf>
    <xf numFmtId="3" fontId="6" fillId="0" borderId="6" xfId="0" applyNumberFormat="1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justify"/>
    </xf>
    <xf numFmtId="0" fontId="0" fillId="0" borderId="0" xfId="0" applyBorder="1"/>
    <xf numFmtId="0" fontId="5" fillId="0" borderId="0" xfId="0" applyFont="1" applyBorder="1" applyAlignment="1">
      <alignment horizontal="justify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justify" vertical="top" wrapText="1"/>
    </xf>
    <xf numFmtId="1" fontId="6" fillId="0" borderId="8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justify" vertical="top" wrapText="1"/>
    </xf>
    <xf numFmtId="1" fontId="6" fillId="0" borderId="6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4" fontId="6" fillId="0" borderId="0" xfId="0" applyNumberFormat="1" applyFont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2" fontId="6" fillId="0" borderId="0" xfId="0" applyNumberFormat="1" applyFont="1" applyFill="1"/>
    <xf numFmtId="166" fontId="6" fillId="0" borderId="0" xfId="0" applyNumberFormat="1" applyFont="1" applyAlignment="1">
      <alignment horizontal="right"/>
    </xf>
    <xf numFmtId="0" fontId="6" fillId="0" borderId="8" xfId="0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4" fontId="5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6" xfId="0" applyFont="1" applyBorder="1"/>
    <xf numFmtId="3" fontId="2" fillId="0" borderId="6" xfId="0" applyNumberFormat="1" applyFont="1" applyBorder="1"/>
    <xf numFmtId="165" fontId="2" fillId="0" borderId="12" xfId="1" applyNumberFormat="1" applyFont="1" applyBorder="1" applyAlignment="1">
      <alignment horizontal="right"/>
    </xf>
    <xf numFmtId="164" fontId="2" fillId="0" borderId="13" xfId="1" applyFont="1" applyBorder="1" applyAlignment="1">
      <alignment horizontal="right"/>
    </xf>
    <xf numFmtId="3" fontId="2" fillId="0" borderId="14" xfId="1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15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16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3" fontId="2" fillId="0" borderId="18" xfId="1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2" fillId="0" borderId="21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3" fontId="6" fillId="0" borderId="0" xfId="0" applyNumberFormat="1" applyFont="1"/>
    <xf numFmtId="3" fontId="2" fillId="0" borderId="14" xfId="1" applyNumberFormat="1" applyFont="1" applyFill="1" applyBorder="1" applyAlignment="1">
      <alignment horizontal="right"/>
    </xf>
    <xf numFmtId="164" fontId="3" fillId="0" borderId="1" xfId="1" applyFont="1" applyFill="1" applyBorder="1"/>
    <xf numFmtId="0" fontId="11" fillId="0" borderId="0" xfId="0" applyFont="1"/>
    <xf numFmtId="0" fontId="12" fillId="0" borderId="0" xfId="0" applyFont="1"/>
    <xf numFmtId="3" fontId="12" fillId="0" borderId="6" xfId="0" applyNumberFormat="1" applyFont="1" applyBorder="1"/>
    <xf numFmtId="3" fontId="12" fillId="0" borderId="0" xfId="0" applyNumberFormat="1" applyFont="1"/>
    <xf numFmtId="3" fontId="5" fillId="0" borderId="0" xfId="0" applyNumberFormat="1" applyFont="1"/>
    <xf numFmtId="2" fontId="12" fillId="0" borderId="0" xfId="0" applyNumberFormat="1" applyFont="1"/>
    <xf numFmtId="0" fontId="12" fillId="0" borderId="0" xfId="0" applyFont="1" applyBorder="1"/>
    <xf numFmtId="164" fontId="12" fillId="0" borderId="0" xfId="1" applyFont="1"/>
    <xf numFmtId="3" fontId="2" fillId="0" borderId="25" xfId="1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10" fontId="6" fillId="0" borderId="0" xfId="2" applyNumberFormat="1" applyFont="1" applyAlignment="1">
      <alignment horizontal="center"/>
    </xf>
    <xf numFmtId="165" fontId="2" fillId="0" borderId="14" xfId="1" applyNumberFormat="1" applyFont="1" applyBorder="1" applyAlignment="1"/>
    <xf numFmtId="165" fontId="2" fillId="0" borderId="0" xfId="1" applyNumberFormat="1" applyFont="1" applyAlignment="1"/>
    <xf numFmtId="165" fontId="2" fillId="0" borderId="26" xfId="1" applyNumberFormat="1" applyFont="1" applyFill="1" applyBorder="1" applyAlignment="1"/>
    <xf numFmtId="167" fontId="3" fillId="0" borderId="0" xfId="1" applyNumberFormat="1" applyFont="1"/>
    <xf numFmtId="164" fontId="3" fillId="0" borderId="0" xfId="1" applyFont="1" applyAlignment="1">
      <alignment horizontal="center"/>
    </xf>
    <xf numFmtId="165" fontId="6" fillId="0" borderId="0" xfId="0" applyNumberFormat="1" applyFont="1"/>
    <xf numFmtId="164" fontId="3" fillId="0" borderId="0" xfId="1" applyFont="1" applyAlignment="1">
      <alignment horizontal="center" vertical="center"/>
    </xf>
    <xf numFmtId="167" fontId="6" fillId="0" borderId="0" xfId="0" applyNumberFormat="1" applyFont="1"/>
    <xf numFmtId="0" fontId="5" fillId="0" borderId="14" xfId="0" applyFont="1" applyBorder="1"/>
    <xf numFmtId="0" fontId="0" fillId="0" borderId="6" xfId="0" applyBorder="1"/>
    <xf numFmtId="0" fontId="0" fillId="0" borderId="27" xfId="0" applyBorder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30" xfId="0" applyBorder="1"/>
    <xf numFmtId="0" fontId="5" fillId="0" borderId="14" xfId="0" applyFont="1" applyFill="1" applyBorder="1"/>
    <xf numFmtId="0" fontId="0" fillId="0" borderId="31" xfId="0" applyBorder="1"/>
    <xf numFmtId="0" fontId="0" fillId="0" borderId="32" xfId="0" applyBorder="1"/>
    <xf numFmtId="0" fontId="0" fillId="0" borderId="5" xfId="0" applyBorder="1"/>
    <xf numFmtId="0" fontId="5" fillId="0" borderId="33" xfId="0" applyFont="1" applyBorder="1"/>
    <xf numFmtId="0" fontId="0" fillId="0" borderId="10" xfId="0" applyBorder="1"/>
    <xf numFmtId="0" fontId="5" fillId="0" borderId="19" xfId="0" applyFont="1" applyFill="1" applyBorder="1"/>
    <xf numFmtId="2" fontId="0" fillId="0" borderId="8" xfId="0" applyNumberFormat="1" applyBorder="1"/>
    <xf numFmtId="0" fontId="5" fillId="0" borderId="31" xfId="0" applyFont="1" applyFill="1" applyBorder="1"/>
    <xf numFmtId="0" fontId="5" fillId="0" borderId="31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0" fillId="0" borderId="19" xfId="0" applyBorder="1"/>
    <xf numFmtId="0" fontId="0" fillId="0" borderId="8" xfId="0" applyBorder="1"/>
    <xf numFmtId="0" fontId="6" fillId="0" borderId="19" xfId="0" applyFont="1" applyFill="1" applyBorder="1"/>
    <xf numFmtId="0" fontId="6" fillId="0" borderId="0" xfId="0" applyFont="1" applyBorder="1"/>
    <xf numFmtId="0" fontId="5" fillId="0" borderId="19" xfId="0" applyFont="1" applyBorder="1"/>
    <xf numFmtId="164" fontId="3" fillId="0" borderId="3" xfId="1" applyFont="1" applyFill="1" applyBorder="1"/>
    <xf numFmtId="4" fontId="2" fillId="0" borderId="14" xfId="1" applyNumberFormat="1" applyFont="1" applyBorder="1" applyAlignment="1">
      <alignment horizontal="right"/>
    </xf>
    <xf numFmtId="165" fontId="3" fillId="0" borderId="34" xfId="1" applyNumberFormat="1" applyFont="1" applyBorder="1"/>
    <xf numFmtId="164" fontId="3" fillId="0" borderId="10" xfId="1" applyFont="1" applyBorder="1"/>
    <xf numFmtId="165" fontId="3" fillId="0" borderId="32" xfId="1" applyNumberFormat="1" applyFont="1" applyBorder="1"/>
    <xf numFmtId="164" fontId="3" fillId="0" borderId="5" xfId="1" applyFont="1" applyBorder="1"/>
    <xf numFmtId="164" fontId="3" fillId="0" borderId="23" xfId="1" applyFont="1" applyBorder="1"/>
    <xf numFmtId="165" fontId="3" fillId="0" borderId="24" xfId="1" applyNumberFormat="1" applyFont="1" applyBorder="1"/>
    <xf numFmtId="164" fontId="3" fillId="0" borderId="11" xfId="1" applyFont="1" applyBorder="1"/>
    <xf numFmtId="165" fontId="3" fillId="0" borderId="35" xfId="1" applyNumberFormat="1" applyFont="1" applyBorder="1"/>
    <xf numFmtId="167" fontId="3" fillId="0" borderId="35" xfId="1" applyNumberFormat="1" applyFont="1" applyBorder="1"/>
    <xf numFmtId="165" fontId="2" fillId="0" borderId="35" xfId="1" applyNumberFormat="1" applyFont="1" applyBorder="1"/>
    <xf numFmtId="1" fontId="6" fillId="0" borderId="35" xfId="0" applyNumberFormat="1" applyFont="1" applyBorder="1"/>
    <xf numFmtId="0" fontId="6" fillId="0" borderId="35" xfId="0" applyFont="1" applyBorder="1"/>
    <xf numFmtId="165" fontId="6" fillId="0" borderId="35" xfId="0" applyNumberFormat="1" applyFont="1" applyBorder="1"/>
    <xf numFmtId="167" fontId="6" fillId="0" borderId="35" xfId="0" applyNumberFormat="1" applyFont="1" applyBorder="1"/>
    <xf numFmtId="2" fontId="6" fillId="0" borderId="35" xfId="0" applyNumberFormat="1" applyFont="1" applyBorder="1"/>
    <xf numFmtId="164" fontId="3" fillId="0" borderId="37" xfId="1" applyFont="1" applyBorder="1"/>
    <xf numFmtId="164" fontId="3" fillId="0" borderId="38" xfId="1" applyFont="1" applyBorder="1"/>
    <xf numFmtId="164" fontId="3" fillId="0" borderId="39" xfId="1" applyFont="1" applyBorder="1"/>
    <xf numFmtId="165" fontId="3" fillId="0" borderId="20" xfId="1" applyNumberFormat="1" applyFont="1" applyBorder="1"/>
    <xf numFmtId="165" fontId="3" fillId="0" borderId="40" xfId="1" applyNumberFormat="1" applyFont="1" applyBorder="1"/>
    <xf numFmtId="167" fontId="3" fillId="0" borderId="40" xfId="1" applyNumberFormat="1" applyFont="1" applyBorder="1"/>
    <xf numFmtId="164" fontId="2" fillId="0" borderId="20" xfId="1" applyFont="1" applyBorder="1"/>
    <xf numFmtId="165" fontId="2" fillId="0" borderId="40" xfId="1" applyNumberFormat="1" applyFont="1" applyBorder="1"/>
    <xf numFmtId="164" fontId="3" fillId="0" borderId="20" xfId="1" applyFont="1" applyBorder="1"/>
    <xf numFmtId="1" fontId="6" fillId="0" borderId="40" xfId="0" applyNumberFormat="1" applyFont="1" applyBorder="1"/>
    <xf numFmtId="0" fontId="6" fillId="0" borderId="40" xfId="0" applyFont="1" applyBorder="1"/>
    <xf numFmtId="165" fontId="6" fillId="0" borderId="40" xfId="0" applyNumberFormat="1" applyFont="1" applyBorder="1"/>
    <xf numFmtId="164" fontId="3" fillId="0" borderId="40" xfId="1" applyFont="1" applyBorder="1"/>
    <xf numFmtId="164" fontId="3" fillId="0" borderId="41" xfId="1" applyFont="1" applyBorder="1"/>
    <xf numFmtId="165" fontId="3" fillId="0" borderId="42" xfId="1" applyNumberFormat="1" applyFont="1" applyBorder="1"/>
    <xf numFmtId="165" fontId="3" fillId="0" borderId="43" xfId="1" applyNumberFormat="1" applyFont="1" applyBorder="1"/>
    <xf numFmtId="164" fontId="3" fillId="3" borderId="20" xfId="1" applyFont="1" applyFill="1" applyBorder="1" applyAlignment="1">
      <alignment horizontal="center" vertical="center"/>
    </xf>
    <xf numFmtId="164" fontId="3" fillId="3" borderId="20" xfId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2" fillId="0" borderId="33" xfId="1" applyFont="1" applyBorder="1"/>
    <xf numFmtId="164" fontId="3" fillId="0" borderId="34" xfId="1" applyFont="1" applyBorder="1" applyAlignment="1">
      <alignment horizontal="center"/>
    </xf>
    <xf numFmtId="3" fontId="2" fillId="0" borderId="30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164" fontId="3" fillId="0" borderId="2" xfId="1" applyFont="1" applyBorder="1"/>
    <xf numFmtId="164" fontId="3" fillId="0" borderId="7" xfId="1" applyFont="1" applyBorder="1"/>
    <xf numFmtId="164" fontId="3" fillId="0" borderId="44" xfId="1" applyFont="1" applyFill="1" applyBorder="1"/>
    <xf numFmtId="165" fontId="2" fillId="0" borderId="27" xfId="1" applyNumberFormat="1" applyFont="1" applyBorder="1" applyAlignment="1">
      <alignment horizontal="right"/>
    </xf>
    <xf numFmtId="165" fontId="2" fillId="0" borderId="14" xfId="1" applyNumberFormat="1" applyFont="1" applyFill="1" applyBorder="1" applyAlignment="1"/>
    <xf numFmtId="0" fontId="6" fillId="0" borderId="45" xfId="0" applyFont="1" applyBorder="1"/>
    <xf numFmtId="0" fontId="6" fillId="0" borderId="46" xfId="0" applyFont="1" applyBorder="1"/>
    <xf numFmtId="164" fontId="2" fillId="0" borderId="46" xfId="1" applyFont="1" applyBorder="1" applyAlignment="1">
      <alignment horizontal="right"/>
    </xf>
    <xf numFmtId="3" fontId="2" fillId="0" borderId="46" xfId="1" applyNumberFormat="1" applyFont="1" applyBorder="1" applyAlignment="1">
      <alignment horizontal="right"/>
    </xf>
    <xf numFmtId="168" fontId="2" fillId="0" borderId="46" xfId="1" applyNumberFormat="1" applyFont="1" applyBorder="1" applyAlignment="1">
      <alignment horizontal="right"/>
    </xf>
    <xf numFmtId="164" fontId="2" fillId="0" borderId="47" xfId="1" applyFont="1" applyBorder="1" applyAlignment="1">
      <alignment horizontal="right"/>
    </xf>
    <xf numFmtId="164" fontId="4" fillId="0" borderId="48" xfId="1" applyFont="1" applyFill="1" applyBorder="1"/>
    <xf numFmtId="3" fontId="2" fillId="0" borderId="49" xfId="1" applyNumberFormat="1" applyFont="1" applyBorder="1" applyAlignment="1">
      <alignment horizontal="right"/>
    </xf>
    <xf numFmtId="3" fontId="2" fillId="0" borderId="50" xfId="1" applyNumberFormat="1" applyFont="1" applyBorder="1" applyAlignment="1">
      <alignment horizontal="right"/>
    </xf>
    <xf numFmtId="164" fontId="3" fillId="0" borderId="1" xfId="1" applyFont="1" applyBorder="1"/>
    <xf numFmtId="3" fontId="2" fillId="0" borderId="51" xfId="1" applyNumberFormat="1" applyFont="1" applyBorder="1" applyAlignment="1">
      <alignment horizontal="right"/>
    </xf>
    <xf numFmtId="3" fontId="2" fillId="0" borderId="52" xfId="1" applyNumberFormat="1" applyFont="1" applyBorder="1" applyAlignment="1">
      <alignment horizontal="right"/>
    </xf>
    <xf numFmtId="3" fontId="2" fillId="0" borderId="53" xfId="1" applyNumberFormat="1" applyFont="1" applyBorder="1" applyAlignment="1">
      <alignment horizontal="right"/>
    </xf>
    <xf numFmtId="164" fontId="4" fillId="0" borderId="48" xfId="1" applyFont="1" applyBorder="1"/>
    <xf numFmtId="164" fontId="3" fillId="0" borderId="54" xfId="1" applyFont="1" applyBorder="1"/>
    <xf numFmtId="3" fontId="2" fillId="0" borderId="55" xfId="1" applyNumberFormat="1" applyFont="1" applyBorder="1" applyAlignment="1">
      <alignment horizontal="right"/>
    </xf>
    <xf numFmtId="3" fontId="2" fillId="0" borderId="36" xfId="1" applyNumberFormat="1" applyFont="1" applyBorder="1" applyAlignment="1">
      <alignment horizontal="right"/>
    </xf>
    <xf numFmtId="3" fontId="2" fillId="0" borderId="40" xfId="1" applyNumberFormat="1" applyFont="1" applyBorder="1" applyAlignment="1">
      <alignment horizontal="right"/>
    </xf>
    <xf numFmtId="164" fontId="5" fillId="0" borderId="0" xfId="1" applyFont="1" applyAlignment="1">
      <alignment horizontal="center"/>
    </xf>
    <xf numFmtId="9" fontId="6" fillId="0" borderId="23" xfId="2" applyNumberFormat="1" applyFont="1" applyBorder="1" applyAlignment="1">
      <alignment horizontal="center"/>
    </xf>
    <xf numFmtId="9" fontId="6" fillId="0" borderId="24" xfId="2" applyNumberFormat="1" applyFont="1" applyBorder="1" applyAlignment="1">
      <alignment horizontal="center"/>
    </xf>
    <xf numFmtId="164" fontId="3" fillId="0" borderId="23" xfId="1" applyFont="1" applyBorder="1" applyAlignment="1">
      <alignment horizontal="center"/>
    </xf>
    <xf numFmtId="164" fontId="3" fillId="0" borderId="24" xfId="1" applyFont="1" applyBorder="1" applyAlignment="1">
      <alignment horizontal="center"/>
    </xf>
    <xf numFmtId="164" fontId="3" fillId="0" borderId="11" xfId="1" applyFont="1" applyBorder="1" applyAlignment="1">
      <alignment horizontal="center"/>
    </xf>
    <xf numFmtId="9" fontId="6" fillId="0" borderId="25" xfId="2" applyNumberFormat="1" applyFont="1" applyBorder="1" applyAlignment="1">
      <alignment horizontal="center"/>
    </xf>
    <xf numFmtId="9" fontId="6" fillId="0" borderId="56" xfId="2" applyNumberFormat="1" applyFont="1" applyBorder="1" applyAlignment="1">
      <alignment horizontal="center"/>
    </xf>
    <xf numFmtId="9" fontId="6" fillId="0" borderId="43" xfId="2" applyNumberFormat="1" applyFont="1" applyBorder="1" applyAlignment="1">
      <alignment horizontal="center"/>
    </xf>
    <xf numFmtId="0" fontId="3" fillId="0" borderId="3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0" fontId="5" fillId="0" borderId="11" xfId="0" applyFont="1" applyBorder="1"/>
    <xf numFmtId="0" fontId="6" fillId="0" borderId="9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165" fontId="2" fillId="0" borderId="35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Determinación del Punto de Equilibrio
para soja (en has)
</a:t>
            </a:r>
          </a:p>
        </c:rich>
      </c:tx>
      <c:layout>
        <c:manualLayout>
          <c:xMode val="edge"/>
          <c:yMode val="edge"/>
          <c:x val="0.29249807449282511"/>
          <c:y val="1.62206001622060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68217993536874E-2"/>
          <c:y val="0.265207442802052"/>
          <c:w val="0.7065536894499107"/>
          <c:h val="0.635038005241610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MB!$A$61</c:f>
              <c:strCache>
                <c:ptCount val="1"/>
                <c:pt idx="0">
                  <c:v>INGRESO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MB!$B$60:$E$60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MB!$B$61:$E$61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FA-4FB2-94F7-14DA20EDCC0D}"/>
            </c:ext>
          </c:extLst>
        </c:ser>
        <c:ser>
          <c:idx val="1"/>
          <c:order val="1"/>
          <c:tx>
            <c:strRef>
              <c:f>MB!$A$62</c:f>
              <c:strCache>
                <c:ptCount val="1"/>
                <c:pt idx="0">
                  <c:v>CFT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xVal>
            <c:numRef>
              <c:f>MB!$B$60:$E$60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MB!$B$62:$E$62</c:f>
              <c:numCache>
                <c:formatCode>#,##0</c:formatCode>
                <c:ptCount val="4"/>
                <c:pt idx="0">
                  <c:v>272000</c:v>
                </c:pt>
                <c:pt idx="1">
                  <c:v>272000</c:v>
                </c:pt>
                <c:pt idx="2">
                  <c:v>272000</c:v>
                </c:pt>
                <c:pt idx="3">
                  <c:v>272000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FA-4FB2-94F7-14DA20EDCC0D}"/>
            </c:ext>
          </c:extLst>
        </c:ser>
        <c:ser>
          <c:idx val="2"/>
          <c:order val="2"/>
          <c:tx>
            <c:strRef>
              <c:f>MB!$A$63</c:f>
              <c:strCache>
                <c:ptCount val="1"/>
                <c:pt idx="0">
                  <c:v>CVT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MB!$B$60:$E$60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MB!$B$63:$E$63</c:f>
              <c:numCache>
                <c:formatCode>#,##0</c:formatCode>
                <c:ptCount val="4"/>
                <c:pt idx="0">
                  <c:v>0</c:v>
                </c:pt>
                <c:pt idx="1">
                  <c:v>226225.62666666665</c:v>
                </c:pt>
                <c:pt idx="2">
                  <c:v>678676.87999999989</c:v>
                </c:pt>
                <c:pt idx="3">
                  <c:v>904902.5066666666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FA-4FB2-94F7-14DA20EDCC0D}"/>
            </c:ext>
          </c:extLst>
        </c:ser>
        <c:ser>
          <c:idx val="3"/>
          <c:order val="3"/>
          <c:tx>
            <c:strRef>
              <c:f>MB!$A$64</c:f>
              <c:strCache>
                <c:ptCount val="1"/>
                <c:pt idx="0">
                  <c:v>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MB!$B$60:$E$60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</c:numCache>
            </c:numRef>
          </c:xVal>
          <c:yVal>
            <c:numRef>
              <c:f>MB!$B$64:$E$64</c:f>
              <c:numCache>
                <c:formatCode>#,##0</c:formatCode>
                <c:ptCount val="4"/>
                <c:pt idx="0">
                  <c:v>272000</c:v>
                </c:pt>
                <c:pt idx="1">
                  <c:v>498225.62666666665</c:v>
                </c:pt>
                <c:pt idx="2">
                  <c:v>950676.87999999989</c:v>
                </c:pt>
                <c:pt idx="3">
                  <c:v>1176902.5066666666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FA-4FB2-94F7-14DA20ED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0981120"/>
        <c:axId val="-240979488"/>
      </c:scatterChart>
      <c:valAx>
        <c:axId val="-240981120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240979488"/>
        <c:crosses val="autoZero"/>
        <c:crossBetween val="midCat"/>
        <c:majorUnit val="2"/>
        <c:minorUnit val="1"/>
      </c:valAx>
      <c:valAx>
        <c:axId val="-240979488"/>
        <c:scaling>
          <c:orientation val="minMax"/>
          <c:max val="15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240981120"/>
        <c:crosses val="autoZero"/>
        <c:crossBetween val="midCat"/>
        <c:min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06098237872594"/>
          <c:y val="0.47445368207706545"/>
          <c:w val="0.15954438148868952"/>
          <c:h val="0.216545526691583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0.78740157480314965" l="0.78740157480314965" r="0.78740157480314965" t="5.9055118110236222" header="0" footer="0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</a:t>
            </a:r>
            <a:r>
              <a:rPr lang="en-US" baseline="0"/>
              <a:t> de equilibrio en la producción de huevos (en docenas)</a:t>
            </a:r>
            <a:endParaRPr lang="en-US"/>
          </a:p>
        </c:rich>
      </c:tx>
      <c:layout>
        <c:manualLayout>
          <c:xMode val="edge"/>
          <c:yMode val="edge"/>
          <c:x val="9.7194645189932247E-2"/>
          <c:y val="3.9926560279674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'MB (Recriadas)'!$A$68</c:f>
              <c:strCache>
                <c:ptCount val="1"/>
                <c:pt idx="0">
                  <c:v>INGRESO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'MB (Recriadas)'!$B$67:$F$67</c:f>
              <c:numCache>
                <c:formatCode>General</c:formatCode>
                <c:ptCount val="5"/>
                <c:pt idx="0">
                  <c:v>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</c:numCache>
            </c:numRef>
          </c:xVal>
          <c:yVal>
            <c:numRef>
              <c:f>'MB (Recriadas)'!$B$68:$F$68</c:f>
              <c:numCache>
                <c:formatCode>#,##0</c:formatCode>
                <c:ptCount val="5"/>
                <c:pt idx="0">
                  <c:v>0</c:v>
                </c:pt>
                <c:pt idx="1">
                  <c:v>6300000</c:v>
                </c:pt>
                <c:pt idx="2">
                  <c:v>7200000</c:v>
                </c:pt>
                <c:pt idx="3">
                  <c:v>8100000</c:v>
                </c:pt>
                <c:pt idx="4">
                  <c:v>9000000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79-40D0-8903-5C8BDA132932}"/>
            </c:ext>
          </c:extLst>
        </c:ser>
        <c:ser>
          <c:idx val="1"/>
          <c:order val="1"/>
          <c:tx>
            <c:strRef>
              <c:f>'MB (Recriadas)'!$A$69</c:f>
              <c:strCache>
                <c:ptCount val="1"/>
                <c:pt idx="0">
                  <c:v>CFT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'MB (Recriadas)'!$B$67:$F$67</c:f>
              <c:numCache>
                <c:formatCode>General</c:formatCode>
                <c:ptCount val="5"/>
                <c:pt idx="0">
                  <c:v>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</c:numCache>
            </c:numRef>
          </c:xVal>
          <c:yVal>
            <c:numRef>
              <c:f>'MB (Recriadas)'!$B$69:$F$69</c:f>
              <c:numCache>
                <c:formatCode>#,##0</c:formatCode>
                <c:ptCount val="5"/>
                <c:pt idx="0">
                  <c:v>1849100</c:v>
                </c:pt>
                <c:pt idx="1">
                  <c:v>1849100</c:v>
                </c:pt>
                <c:pt idx="2">
                  <c:v>1849100</c:v>
                </c:pt>
                <c:pt idx="3">
                  <c:v>1849100</c:v>
                </c:pt>
                <c:pt idx="4">
                  <c:v>1849100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79-40D0-8903-5C8BDA132932}"/>
            </c:ext>
          </c:extLst>
        </c:ser>
        <c:ser>
          <c:idx val="2"/>
          <c:order val="2"/>
          <c:tx>
            <c:strRef>
              <c:f>'MB (Recriadas)'!$A$70</c:f>
              <c:strCache>
                <c:ptCount val="1"/>
                <c:pt idx="0">
                  <c:v>CVT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'MB (Recriadas)'!$B$67:$F$67</c:f>
              <c:numCache>
                <c:formatCode>General</c:formatCode>
                <c:ptCount val="5"/>
                <c:pt idx="0">
                  <c:v>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</c:numCache>
            </c:numRef>
          </c:xVal>
          <c:yVal>
            <c:numRef>
              <c:f>'MB (Recriadas)'!$B$70:$F$70</c:f>
              <c:numCache>
                <c:formatCode>#,##0</c:formatCode>
                <c:ptCount val="5"/>
                <c:pt idx="0">
                  <c:v>0</c:v>
                </c:pt>
                <c:pt idx="1">
                  <c:v>4768743.8095238097</c:v>
                </c:pt>
                <c:pt idx="2">
                  <c:v>5449992.9251700677</c:v>
                </c:pt>
                <c:pt idx="3">
                  <c:v>6131242.0408163266</c:v>
                </c:pt>
                <c:pt idx="4">
                  <c:v>6812491.1564625846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79-40D0-8903-5C8BDA132932}"/>
            </c:ext>
          </c:extLst>
        </c:ser>
        <c:ser>
          <c:idx val="3"/>
          <c:order val="3"/>
          <c:tx>
            <c:strRef>
              <c:f>'MB (Recriadas)'!$A$71</c:f>
              <c:strCache>
                <c:ptCount val="1"/>
                <c:pt idx="0">
                  <c:v>CT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'MB (Recriadas)'!$B$67:$F$67</c:f>
              <c:numCache>
                <c:formatCode>General</c:formatCode>
                <c:ptCount val="5"/>
                <c:pt idx="0">
                  <c:v>0</c:v>
                </c:pt>
                <c:pt idx="1">
                  <c:v>35000</c:v>
                </c:pt>
                <c:pt idx="2">
                  <c:v>40000</c:v>
                </c:pt>
                <c:pt idx="3">
                  <c:v>45000</c:v>
                </c:pt>
                <c:pt idx="4">
                  <c:v>50000</c:v>
                </c:pt>
              </c:numCache>
            </c:numRef>
          </c:xVal>
          <c:yVal>
            <c:numRef>
              <c:f>'MB (Recriadas)'!$B$71:$F$71</c:f>
              <c:numCache>
                <c:formatCode>#,##0</c:formatCode>
                <c:ptCount val="5"/>
                <c:pt idx="0">
                  <c:v>1849100</c:v>
                </c:pt>
                <c:pt idx="1">
                  <c:v>6617843.8095238097</c:v>
                </c:pt>
                <c:pt idx="2">
                  <c:v>7299092.9251700677</c:v>
                </c:pt>
                <c:pt idx="3">
                  <c:v>7980342.0408163266</c:v>
                </c:pt>
                <c:pt idx="4">
                  <c:v>8661591.1564625837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79-40D0-8903-5C8BDA132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497936"/>
        <c:axId val="323493360"/>
      </c:scatterChart>
      <c:valAx>
        <c:axId val="323497936"/>
        <c:scaling>
          <c:orientation val="minMax"/>
          <c:max val="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3493360"/>
        <c:crosses val="autoZero"/>
        <c:crossBetween val="midCat"/>
      </c:valAx>
      <c:valAx>
        <c:axId val="32349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3497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48281</xdr:rowOff>
    </xdr:from>
    <xdr:to>
      <xdr:col>5</xdr:col>
      <xdr:colOff>19050</xdr:colOff>
      <xdr:row>82</xdr:row>
      <xdr:rowOff>76856</xdr:rowOff>
    </xdr:to>
    <xdr:graphicFrame macro="">
      <xdr:nvGraphicFramePr>
        <xdr:cNvPr id="71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101</xdr:row>
          <xdr:rowOff>0</xdr:rowOff>
        </xdr:from>
        <xdr:to>
          <xdr:col>0</xdr:col>
          <xdr:colOff>1562100</xdr:colOff>
          <xdr:row>101</xdr:row>
          <xdr:rowOff>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101</xdr:row>
          <xdr:rowOff>0</xdr:rowOff>
        </xdr:from>
        <xdr:to>
          <xdr:col>4</xdr:col>
          <xdr:colOff>428625</xdr:colOff>
          <xdr:row>101</xdr:row>
          <xdr:rowOff>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101</xdr:row>
          <xdr:rowOff>0</xdr:rowOff>
        </xdr:from>
        <xdr:to>
          <xdr:col>0</xdr:col>
          <xdr:colOff>1857375</xdr:colOff>
          <xdr:row>101</xdr:row>
          <xdr:rowOff>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101</xdr:row>
          <xdr:rowOff>0</xdr:rowOff>
        </xdr:from>
        <xdr:to>
          <xdr:col>4</xdr:col>
          <xdr:colOff>428625</xdr:colOff>
          <xdr:row>101</xdr:row>
          <xdr:rowOff>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101</xdr:row>
          <xdr:rowOff>0</xdr:rowOff>
        </xdr:from>
        <xdr:to>
          <xdr:col>0</xdr:col>
          <xdr:colOff>1838325</xdr:colOff>
          <xdr:row>101</xdr:row>
          <xdr:rowOff>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101</xdr:row>
          <xdr:rowOff>0</xdr:rowOff>
        </xdr:from>
        <xdr:to>
          <xdr:col>4</xdr:col>
          <xdr:colOff>9525</xdr:colOff>
          <xdr:row>101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101</xdr:row>
          <xdr:rowOff>0</xdr:rowOff>
        </xdr:from>
        <xdr:to>
          <xdr:col>0</xdr:col>
          <xdr:colOff>1924050</xdr:colOff>
          <xdr:row>101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101</xdr:row>
          <xdr:rowOff>0</xdr:rowOff>
        </xdr:from>
        <xdr:to>
          <xdr:col>4</xdr:col>
          <xdr:colOff>95250</xdr:colOff>
          <xdr:row>101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19706</xdr:rowOff>
    </xdr:from>
    <xdr:to>
      <xdr:col>6</xdr:col>
      <xdr:colOff>0</xdr:colOff>
      <xdr:row>82</xdr:row>
      <xdr:rowOff>98533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493681</xdr:colOff>
      <xdr:row>28</xdr:row>
      <xdr:rowOff>27463</xdr:rowOff>
    </xdr:from>
    <xdr:ext cx="4202144" cy="321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493681" y="4456588"/>
              <a:ext cx="4202144" cy="3218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AR" sz="1100" b="0" i="1">
                        <a:latin typeface="Cambria Math" panose="02040503050406030204" pitchFamily="18" charset="0"/>
                      </a:rPr>
                      <m:t>𝑃𝑟𝑒𝑐𝑖𝑜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𝐻𝑢𝑒𝑣𝑜</m:t>
                    </m:r>
                    <m:r>
                      <a:rPr lang="es-AR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A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𝑀𝐵</m:t>
                            </m:r>
                          </m:e>
                          <m:sub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𝑃𝑜𝑙𝑙𝑜𝑠</m:t>
                            </m:r>
                          </m:sub>
                        </m:sSub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𝐺𝐷</m:t>
                            </m:r>
                          </m:e>
                          <m:sub>
                            <m: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𝐻𝑢𝑒𝑣𝑜𝑠</m:t>
                            </m:r>
                          </m:sub>
                        </m:sSub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𝐼𝑛𝑔𝑟𝑒𝑠𝑜𝑠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𝑅𝑒𝑓𝑢𝑔𝑜</m:t>
                            </m:r>
                          </m:e>
                          <m:sub>
                            <m: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𝐻𝑢𝑒𝑣𝑜𝑠</m:t>
                            </m:r>
                          </m:sub>
                        </m:sSub>
                      </m:num>
                      <m:den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𝑃𝑟𝑜𝑑𝑢𝑐𝑐𝑖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𝑑𝑒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𝐻𝑢𝑒𝑣𝑜𝑠</m:t>
                        </m:r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493681" y="4456588"/>
              <a:ext cx="4202144" cy="3218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AR" sz="1100" b="0" i="0">
                  <a:latin typeface="Cambria Math" panose="02040503050406030204" pitchFamily="18" charset="0"/>
                </a:rPr>
                <a:t>𝑃𝑟𝑒𝑐𝑖𝑜 𝑑𝑒 𝐻𝑢𝑒𝑣𝑜</a:t>
              </a:r>
              <a:r>
                <a:rPr lang="es-AR" sz="1100" i="0">
                  <a:latin typeface="Cambria Math" panose="02040503050406030204" pitchFamily="18" charset="0"/>
                </a:rPr>
                <a:t>=(〖</a:t>
              </a:r>
              <a:r>
                <a:rPr lang="es-AR" sz="1100" b="0" i="0">
                  <a:latin typeface="Cambria Math" panose="02040503050406030204" pitchFamily="18" charset="0"/>
                </a:rPr>
                <a:t>𝑀𝐵〗_𝑃𝑜𝑙𝑙𝑜𝑠+</a:t>
              </a:r>
              <a:r>
                <a:rPr lang="es-A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〖𝐺𝐷〗_𝐻𝑢𝑒𝑣𝑜𝑠−〖𝐼𝑛𝑔𝑟𝑒𝑠𝑜𝑠 𝑅𝑒𝑓𝑢𝑔𝑜〗_𝐻𝑢𝑒𝑣𝑜𝑠)/(</a:t>
              </a:r>
              <a:r>
                <a:rPr lang="es-A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𝑃𝑟𝑜𝑑𝑢𝑐𝑐𝑖ó𝑛 𝑑𝑒 𝐻𝑢𝑒𝑣𝑜𝑠</a:t>
              </a:r>
              <a:r>
                <a:rPr lang="es-A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AR" sz="1100"/>
            </a:p>
          </xdr:txBody>
        </xdr:sp>
      </mc:Fallback>
    </mc:AlternateContent>
    <xdr:clientData/>
  </xdr:oneCellAnchor>
  <xdr:oneCellAnchor>
    <xdr:from>
      <xdr:col>0</xdr:col>
      <xdr:colOff>579406</xdr:colOff>
      <xdr:row>34</xdr:row>
      <xdr:rowOff>8413</xdr:rowOff>
    </xdr:from>
    <xdr:ext cx="3237233" cy="3476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579406" y="4437538"/>
              <a:ext cx="3237233" cy="347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AR" sz="1100" b="0" i="1">
                        <a:latin typeface="Cambria Math" panose="02040503050406030204" pitchFamily="18" charset="0"/>
                      </a:rPr>
                      <m:t>𝑃𝑟𝑒𝑐𝑖𝑜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𝐾𝑔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𝑝𝑜𝑙𝑙𝑜</m:t>
                    </m:r>
                    <m:r>
                      <a:rPr lang="es-AR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A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A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𝑀𝐵</m:t>
                            </m:r>
                          </m:e>
                          <m:sub>
                            <m:r>
                              <a:rPr lang="es-AR" sz="1100" b="0" i="1">
                                <a:latin typeface="Cambria Math" panose="02040503050406030204" pitchFamily="18" charset="0"/>
                              </a:rPr>
                              <m:t>𝐻𝑢𝑒𝑣𝑜𝑠</m:t>
                            </m:r>
                          </m:sub>
                        </m:sSub>
                        <m:r>
                          <a:rPr lang="es-AR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𝐺𝐷</m:t>
                            </m:r>
                          </m:e>
                          <m:sub>
                            <m:r>
                              <a:rPr lang="es-A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𝑃𝑜𝑙𝑙𝑜𝑠</m:t>
                            </m:r>
                          </m:sub>
                        </m:sSub>
                      </m:num>
                      <m:den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𝑃𝑟𝑜𝑑𝑢𝑐𝑐𝑖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ó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𝑑𝑒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𝐾𝑔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𝑑𝑒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A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𝑝𝑜𝑙𝑙𝑜</m:t>
                        </m:r>
                      </m:den>
                    </m:f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579406" y="4437538"/>
              <a:ext cx="3237233" cy="347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AR" sz="1100" b="0" i="0">
                  <a:latin typeface="Cambria Math" panose="02040503050406030204" pitchFamily="18" charset="0"/>
                </a:rPr>
                <a:t>𝑃𝑟𝑒𝑐𝑖𝑜 𝑑𝑒 𝐾𝑔 𝑑𝑒 𝑝𝑜𝑙𝑙𝑜</a:t>
              </a:r>
              <a:r>
                <a:rPr lang="es-AR" sz="1100" i="0">
                  <a:latin typeface="Cambria Math" panose="02040503050406030204" pitchFamily="18" charset="0"/>
                </a:rPr>
                <a:t>=(〖</a:t>
              </a:r>
              <a:r>
                <a:rPr lang="es-AR" sz="1100" b="0" i="0">
                  <a:latin typeface="Cambria Math" panose="02040503050406030204" pitchFamily="18" charset="0"/>
                </a:rPr>
                <a:t>𝑀𝐵〗_𝐻𝑢𝑒𝑣𝑜𝑠+</a:t>
              </a:r>
              <a:r>
                <a:rPr lang="es-A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〖𝐺𝐷〗_𝑃𝑜𝑙𝑙𝑜𝑠)/(</a:t>
              </a:r>
              <a:r>
                <a:rPr lang="es-A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𝑃𝑟𝑜𝑑𝑢𝑐𝑐𝑖ó𝑛 𝑑𝑒 𝐾𝑔 𝑑𝑒 𝑝𝑜𝑙𝑙𝑜</a:t>
              </a:r>
              <a:r>
                <a:rPr lang="es-A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A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4"/>
  <sheetViews>
    <sheetView topLeftCell="A10" zoomScale="145" zoomScaleNormal="145" workbookViewId="0">
      <pane xSplit="1" topLeftCell="B1" activePane="topRight" state="frozen"/>
      <selection pane="topRight" activeCell="E7" sqref="E7"/>
    </sheetView>
  </sheetViews>
  <sheetFormatPr baseColWidth="10" defaultRowHeight="12.75" x14ac:dyDescent="0.2"/>
  <cols>
    <col min="1" max="1" width="35.28515625" style="4" customWidth="1"/>
    <col min="2" max="2" width="13.140625" style="4" customWidth="1"/>
    <col min="3" max="3" width="9.140625" style="4" customWidth="1"/>
    <col min="4" max="4" width="11.140625" style="4" customWidth="1"/>
    <col min="5" max="5" width="8.28515625" style="4" customWidth="1"/>
    <col min="6" max="6" width="9.5703125" style="4" bestFit="1" customWidth="1"/>
    <col min="7" max="7" width="11.42578125" style="4" customWidth="1"/>
    <col min="8" max="8" width="29" style="4" customWidth="1"/>
    <col min="9" max="16" width="11.42578125" style="4" customWidth="1"/>
    <col min="17" max="17" width="17.42578125" style="4" bestFit="1" customWidth="1"/>
    <col min="18" max="16384" width="11.42578125" style="4"/>
  </cols>
  <sheetData>
    <row r="1" spans="1:6" x14ac:dyDescent="0.2">
      <c r="A1" s="183" t="s">
        <v>76</v>
      </c>
      <c r="B1" s="183"/>
      <c r="C1" s="183"/>
      <c r="D1" s="183"/>
      <c r="E1" s="183"/>
      <c r="F1" s="1"/>
    </row>
    <row r="2" spans="1:6" x14ac:dyDescent="0.2">
      <c r="A2" s="183" t="s">
        <v>114</v>
      </c>
      <c r="B2" s="183"/>
      <c r="C2" s="183"/>
      <c r="D2" s="183"/>
      <c r="E2" s="183"/>
      <c r="F2" s="1"/>
    </row>
    <row r="3" spans="1:6" ht="13.5" x14ac:dyDescent="0.2">
      <c r="A3" s="2" t="s">
        <v>74</v>
      </c>
      <c r="B3" s="3">
        <v>600</v>
      </c>
      <c r="C3" s="2" t="s">
        <v>107</v>
      </c>
      <c r="D3" s="1"/>
      <c r="E3" s="1"/>
      <c r="F3" s="1"/>
    </row>
    <row r="4" spans="1:6" x14ac:dyDescent="0.2">
      <c r="A4" s="2" t="s">
        <v>153</v>
      </c>
      <c r="B4" s="3">
        <v>14</v>
      </c>
      <c r="C4" s="2"/>
      <c r="D4" s="1"/>
      <c r="E4" s="1"/>
      <c r="F4" s="1"/>
    </row>
    <row r="5" spans="1:6" x14ac:dyDescent="0.2">
      <c r="A5" s="2" t="s">
        <v>154</v>
      </c>
      <c r="B5" s="3">
        <f>B4*30</f>
        <v>420</v>
      </c>
      <c r="C5" s="2"/>
      <c r="D5" s="1"/>
      <c r="E5" s="1"/>
      <c r="F5" s="1"/>
    </row>
    <row r="6" spans="1:6" x14ac:dyDescent="0.2">
      <c r="A6" s="2"/>
      <c r="B6" s="3"/>
      <c r="C6" s="2"/>
      <c r="D6" s="1"/>
      <c r="E6" s="1"/>
      <c r="F6" s="1"/>
    </row>
    <row r="7" spans="1:6" x14ac:dyDescent="0.2">
      <c r="A7" s="2"/>
      <c r="B7" s="2" t="s">
        <v>105</v>
      </c>
      <c r="C7" s="2" t="s">
        <v>104</v>
      </c>
      <c r="E7" s="1"/>
      <c r="F7" s="1"/>
    </row>
    <row r="8" spans="1:6" x14ac:dyDescent="0.2">
      <c r="A8" s="3" t="s">
        <v>115</v>
      </c>
      <c r="B8" s="3">
        <f>B3*7</f>
        <v>4200</v>
      </c>
      <c r="C8" s="3">
        <f>B3*10</f>
        <v>6000</v>
      </c>
      <c r="E8" s="1"/>
      <c r="F8" s="1"/>
    </row>
    <row r="9" spans="1:6" x14ac:dyDescent="0.2">
      <c r="A9" s="3" t="s">
        <v>126</v>
      </c>
      <c r="B9" s="3">
        <f>(B8*B12*260)/12</f>
        <v>72800</v>
      </c>
      <c r="C9" s="3">
        <f>C8*C11*C13</f>
        <v>114372</v>
      </c>
      <c r="E9" s="1"/>
      <c r="F9" s="1"/>
    </row>
    <row r="10" spans="1:6" x14ac:dyDescent="0.2">
      <c r="A10" s="3" t="s">
        <v>131</v>
      </c>
      <c r="B10" s="3">
        <f>15*12</f>
        <v>180</v>
      </c>
      <c r="C10" s="3">
        <v>220</v>
      </c>
      <c r="E10" s="1"/>
      <c r="F10" s="1"/>
    </row>
    <row r="11" spans="1:6" x14ac:dyDescent="0.2">
      <c r="A11" s="3" t="s">
        <v>127</v>
      </c>
      <c r="B11" s="3">
        <v>1</v>
      </c>
      <c r="C11" s="3">
        <v>6</v>
      </c>
      <c r="E11" s="1"/>
      <c r="F11" s="1"/>
    </row>
    <row r="12" spans="1:6" x14ac:dyDescent="0.2">
      <c r="A12" s="3" t="s">
        <v>128</v>
      </c>
      <c r="B12" s="90">
        <v>0.8</v>
      </c>
      <c r="C12" s="3">
        <v>0</v>
      </c>
      <c r="E12" s="1"/>
      <c r="F12" s="1"/>
    </row>
    <row r="13" spans="1:6" x14ac:dyDescent="0.2">
      <c r="A13" s="3" t="s">
        <v>129</v>
      </c>
      <c r="B13" s="3">
        <v>0</v>
      </c>
      <c r="C13" s="90">
        <v>3.177</v>
      </c>
      <c r="E13" s="1"/>
      <c r="F13" s="1"/>
    </row>
    <row r="14" spans="1:6" x14ac:dyDescent="0.2">
      <c r="A14" s="3"/>
      <c r="B14" s="3"/>
      <c r="C14" s="3"/>
      <c r="E14" s="1"/>
      <c r="F14" s="1"/>
    </row>
    <row r="15" spans="1:6" x14ac:dyDescent="0.2">
      <c r="A15" s="1" t="s">
        <v>116</v>
      </c>
      <c r="B15" s="1">
        <v>175</v>
      </c>
      <c r="C15" s="1">
        <v>77</v>
      </c>
      <c r="E15" s="1"/>
      <c r="F15" s="1"/>
    </row>
    <row r="16" spans="1:6" x14ac:dyDescent="0.2">
      <c r="A16" s="2" t="s">
        <v>120</v>
      </c>
      <c r="B16" s="4">
        <f>CA!E23</f>
        <v>147.49047619047619</v>
      </c>
      <c r="C16" s="4">
        <f>CA!E48</f>
        <v>16.332222222222221</v>
      </c>
      <c r="D16" s="1"/>
      <c r="E16" s="1"/>
      <c r="F16" s="1"/>
    </row>
    <row r="17" spans="1:6" x14ac:dyDescent="0.2">
      <c r="A17" s="93" t="s">
        <v>121</v>
      </c>
      <c r="D17" s="1"/>
      <c r="E17" s="1"/>
      <c r="F17" s="1"/>
    </row>
    <row r="18" spans="1:6" x14ac:dyDescent="0.2">
      <c r="A18" s="2" t="s">
        <v>124</v>
      </c>
      <c r="B18" s="4">
        <v>20</v>
      </c>
      <c r="C18" s="4">
        <v>30</v>
      </c>
      <c r="D18" s="1"/>
      <c r="E18" s="1"/>
      <c r="F18" s="1"/>
    </row>
    <row r="19" spans="1:6" x14ac:dyDescent="0.2">
      <c r="A19" s="2" t="s">
        <v>125</v>
      </c>
      <c r="B19" s="4">
        <v>850</v>
      </c>
      <c r="C19" s="4">
        <v>850</v>
      </c>
      <c r="D19" s="1"/>
      <c r="E19" s="1"/>
      <c r="F19" s="1"/>
    </row>
    <row r="20" spans="1:6" x14ac:dyDescent="0.2">
      <c r="A20" s="2"/>
      <c r="D20" s="1"/>
      <c r="E20" s="1"/>
      <c r="F20" s="1"/>
    </row>
    <row r="21" spans="1:6" x14ac:dyDescent="0.2">
      <c r="A21" s="2" t="s">
        <v>122</v>
      </c>
      <c r="B21" s="4">
        <v>48000</v>
      </c>
      <c r="C21" s="4">
        <v>48000</v>
      </c>
      <c r="D21" s="1"/>
      <c r="E21" s="1"/>
      <c r="F21" s="1"/>
    </row>
    <row r="22" spans="1:6" x14ac:dyDescent="0.2">
      <c r="A22" s="2"/>
      <c r="D22" s="1"/>
      <c r="E22" s="1"/>
      <c r="F22" s="1"/>
    </row>
    <row r="23" spans="1:6" x14ac:dyDescent="0.2">
      <c r="A23" s="93" t="s">
        <v>123</v>
      </c>
      <c r="C23" s="2">
        <v>0</v>
      </c>
      <c r="D23" s="1"/>
      <c r="E23" s="1"/>
      <c r="F23" s="1"/>
    </row>
    <row r="24" spans="1:6" x14ac:dyDescent="0.2">
      <c r="A24" s="2" t="s">
        <v>115</v>
      </c>
      <c r="B24" s="92">
        <f>B9*12/30</f>
        <v>29120</v>
      </c>
      <c r="C24" s="2">
        <v>0</v>
      </c>
      <c r="D24" s="1"/>
      <c r="E24" s="1"/>
      <c r="F24" s="1"/>
    </row>
    <row r="25" spans="1:6" x14ac:dyDescent="0.2">
      <c r="A25" s="2" t="s">
        <v>130</v>
      </c>
      <c r="B25" s="94">
        <v>8.73</v>
      </c>
      <c r="C25" s="2">
        <v>0</v>
      </c>
      <c r="D25" s="1"/>
      <c r="E25" s="1"/>
      <c r="F25" s="1"/>
    </row>
    <row r="26" spans="1:6" x14ac:dyDescent="0.2">
      <c r="A26" s="2"/>
      <c r="B26" s="94"/>
      <c r="C26" s="2"/>
      <c r="D26" s="1"/>
      <c r="E26" s="1"/>
      <c r="F26" s="1"/>
    </row>
    <row r="27" spans="1:6" x14ac:dyDescent="0.2">
      <c r="A27" s="91" t="s">
        <v>117</v>
      </c>
      <c r="B27" s="3"/>
      <c r="C27" s="2"/>
      <c r="D27" s="1"/>
      <c r="E27" s="1"/>
      <c r="F27" s="1"/>
    </row>
    <row r="28" spans="1:6" x14ac:dyDescent="0.2">
      <c r="A28" s="2" t="s">
        <v>118</v>
      </c>
      <c r="B28" s="4">
        <f>CA!B9</f>
        <v>56.6</v>
      </c>
      <c r="C28" s="2">
        <f>CA!B36</f>
        <v>6.4980000000000002</v>
      </c>
      <c r="D28" s="1"/>
      <c r="E28" s="1"/>
      <c r="F28" s="1"/>
    </row>
    <row r="29" spans="1:6" x14ac:dyDescent="0.2">
      <c r="A29" s="2" t="s">
        <v>119</v>
      </c>
      <c r="B29" s="32">
        <f>CA!B10</f>
        <v>50.058303886925785</v>
      </c>
      <c r="C29" s="2">
        <f>CA!B37</f>
        <v>55.087526931363492</v>
      </c>
      <c r="D29" s="1"/>
      <c r="E29" s="1"/>
      <c r="F29" s="1"/>
    </row>
    <row r="30" spans="1:6" x14ac:dyDescent="0.2">
      <c r="A30" s="2"/>
      <c r="B30" s="3"/>
      <c r="C30" s="2"/>
      <c r="D30" s="1"/>
      <c r="E30" s="1"/>
      <c r="F30" s="1"/>
    </row>
    <row r="31" spans="1:6" x14ac:dyDescent="0.2">
      <c r="A31" s="2" t="s">
        <v>141</v>
      </c>
      <c r="B31" s="3"/>
      <c r="C31" s="2"/>
      <c r="D31" s="1"/>
      <c r="E31" s="1"/>
      <c r="F31" s="1"/>
    </row>
    <row r="32" spans="1:6" ht="13.5" thickBot="1" x14ac:dyDescent="0.25">
      <c r="A32" s="2"/>
      <c r="B32" s="3"/>
      <c r="C32" s="2"/>
      <c r="D32" s="1"/>
      <c r="E32" s="1"/>
      <c r="F32" s="1"/>
    </row>
    <row r="33" spans="1:19" ht="13.5" thickBot="1" x14ac:dyDescent="0.25">
      <c r="A33" s="1"/>
      <c r="B33" s="186" t="s">
        <v>105</v>
      </c>
      <c r="C33" s="187"/>
      <c r="D33" s="186" t="s">
        <v>104</v>
      </c>
      <c r="E33" s="187"/>
    </row>
    <row r="34" spans="1:19" ht="13.5" thickBot="1" x14ac:dyDescent="0.25">
      <c r="A34" s="7"/>
      <c r="B34" s="6" t="s">
        <v>109</v>
      </c>
      <c r="C34" s="6" t="s">
        <v>108</v>
      </c>
      <c r="D34" s="6" t="s">
        <v>109</v>
      </c>
      <c r="E34" s="6" t="s">
        <v>108</v>
      </c>
    </row>
    <row r="35" spans="1:19" x14ac:dyDescent="0.2">
      <c r="A35" s="8" t="s">
        <v>106</v>
      </c>
      <c r="B35" s="58">
        <f>B9</f>
        <v>72800</v>
      </c>
      <c r="D35" s="58">
        <f>C9</f>
        <v>114372</v>
      </c>
      <c r="E35" s="59"/>
    </row>
    <row r="36" spans="1:19" x14ac:dyDescent="0.2">
      <c r="A36" s="8" t="s">
        <v>94</v>
      </c>
      <c r="B36" s="60">
        <f>B10</f>
        <v>180</v>
      </c>
      <c r="D36" s="60">
        <f>C10</f>
        <v>220</v>
      </c>
      <c r="E36" s="61"/>
    </row>
    <row r="37" spans="1:19" ht="13.5" thickBot="1" x14ac:dyDescent="0.25">
      <c r="A37" s="8" t="s">
        <v>98</v>
      </c>
      <c r="B37" s="84">
        <f>B35*B36</f>
        <v>13104000</v>
      </c>
      <c r="C37" s="59">
        <f>(B35*B36)/B3</f>
        <v>21840</v>
      </c>
      <c r="D37" s="84">
        <f>D35*D36</f>
        <v>25161840</v>
      </c>
      <c r="E37" s="61">
        <f>D37/B3</f>
        <v>41936.400000000001</v>
      </c>
    </row>
    <row r="38" spans="1:19" x14ac:dyDescent="0.2">
      <c r="A38" s="8" t="s">
        <v>10</v>
      </c>
      <c r="B38" s="60"/>
      <c r="C38" s="61"/>
      <c r="D38" s="65"/>
      <c r="E38" s="66"/>
    </row>
    <row r="39" spans="1:19" x14ac:dyDescent="0.2">
      <c r="A39" s="8" t="s">
        <v>11</v>
      </c>
      <c r="B39" s="60"/>
      <c r="C39" s="61"/>
      <c r="D39" s="67"/>
      <c r="E39" s="68"/>
    </row>
    <row r="40" spans="1:19" ht="14.25" customHeight="1" thickBot="1" x14ac:dyDescent="0.25">
      <c r="A40" s="9" t="s">
        <v>110</v>
      </c>
      <c r="B40" s="89">
        <f>B8*B11*B28*B29</f>
        <v>11899859.999999998</v>
      </c>
      <c r="C40" s="61">
        <f>B40/$B$3</f>
        <v>19833.099999999999</v>
      </c>
      <c r="D40" s="60">
        <f>C28*C29*C8*C11</f>
        <v>12886515</v>
      </c>
      <c r="E40" s="61">
        <f>D40/$B$3</f>
        <v>21477.525000000001</v>
      </c>
    </row>
    <row r="41" spans="1:19" x14ac:dyDescent="0.2">
      <c r="A41" s="9" t="s">
        <v>111</v>
      </c>
      <c r="B41" s="87">
        <f>B16*B8</f>
        <v>619460</v>
      </c>
      <c r="C41" s="61">
        <f t="shared" ref="C41:C42" si="0">B41/$B$3</f>
        <v>1032.4333333333334</v>
      </c>
      <c r="D41" s="60">
        <f>C16*C8</f>
        <v>97993.333333333328</v>
      </c>
      <c r="E41" s="61">
        <f t="shared" ref="E41:E42" si="1">D41/$B$3</f>
        <v>163.32222222222222</v>
      </c>
    </row>
    <row r="42" spans="1:19" ht="13.5" thickBot="1" x14ac:dyDescent="0.25">
      <c r="A42" s="9" t="s">
        <v>112</v>
      </c>
      <c r="B42" s="88">
        <f>B18*B19+B21+B24*B25+B15*B8*B11</f>
        <v>1054217.6000000001</v>
      </c>
      <c r="C42" s="61">
        <f t="shared" si="0"/>
        <v>1757.0293333333334</v>
      </c>
      <c r="D42" s="74">
        <f>C18*C19+C21+C15*C8*C11</f>
        <v>2845500</v>
      </c>
      <c r="E42" s="61">
        <f t="shared" si="1"/>
        <v>4742.5</v>
      </c>
      <c r="G42" s="4" t="s">
        <v>24</v>
      </c>
      <c r="H42" s="4">
        <f>400*200</f>
        <v>80000</v>
      </c>
      <c r="I42" s="4">
        <v>400</v>
      </c>
      <c r="J42" s="4">
        <v>400</v>
      </c>
    </row>
    <row r="43" spans="1:19" ht="13.5" thickBot="1" x14ac:dyDescent="0.25">
      <c r="A43" s="10" t="s">
        <v>29</v>
      </c>
      <c r="B43" s="63">
        <f t="shared" ref="B43:E43" si="2">SUM(B40:B42)</f>
        <v>13573537.599999998</v>
      </c>
      <c r="C43" s="63">
        <f t="shared" si="2"/>
        <v>22622.562666666665</v>
      </c>
      <c r="D43" s="63">
        <f t="shared" si="2"/>
        <v>15830008.333333334</v>
      </c>
      <c r="E43" s="63">
        <f t="shared" si="2"/>
        <v>26383.347222222223</v>
      </c>
      <c r="G43" s="4" t="s">
        <v>14</v>
      </c>
      <c r="H43" s="5" t="e">
        <f>+H42-#REF!-#REF!-#REF!</f>
        <v>#REF!</v>
      </c>
      <c r="I43" s="5"/>
      <c r="J43" s="5"/>
    </row>
    <row r="44" spans="1:19" ht="13.5" thickBot="1" x14ac:dyDescent="0.25">
      <c r="A44" s="10" t="s">
        <v>0</v>
      </c>
      <c r="B44" s="69">
        <v>0</v>
      </c>
      <c r="C44" s="70">
        <f>+B44/$B$3</f>
        <v>0</v>
      </c>
      <c r="D44" s="69">
        <v>0</v>
      </c>
      <c r="E44" s="70">
        <f>+D44/$B$3</f>
        <v>0</v>
      </c>
      <c r="G44" s="4" t="s">
        <v>20</v>
      </c>
      <c r="H44" s="5"/>
      <c r="I44" s="5"/>
      <c r="J44" s="5" t="e">
        <f>+J42-#REF!-#REF!-#REF!</f>
        <v>#REF!</v>
      </c>
    </row>
    <row r="45" spans="1:19" ht="13.5" thickBot="1" x14ac:dyDescent="0.25">
      <c r="A45" s="8" t="s">
        <v>97</v>
      </c>
      <c r="B45" s="63">
        <f>+B37-B43</f>
        <v>-469537.59999999776</v>
      </c>
      <c r="C45" s="63">
        <f>+C37-C43</f>
        <v>-782.56266666666488</v>
      </c>
      <c r="D45" s="63">
        <f>+D37-D43</f>
        <v>9331831.666666666</v>
      </c>
      <c r="E45" s="63">
        <f>+E37-E43</f>
        <v>15553.052777777779</v>
      </c>
      <c r="G45" s="4" t="s">
        <v>21</v>
      </c>
      <c r="H45" s="5" t="e">
        <f>+H43/(#REF!+#REF!+#REF!)</f>
        <v>#REF!</v>
      </c>
      <c r="I45" s="5"/>
      <c r="J45" s="5"/>
      <c r="R45" s="73"/>
    </row>
    <row r="46" spans="1:19" x14ac:dyDescent="0.2">
      <c r="A46" s="8" t="s">
        <v>25</v>
      </c>
      <c r="B46" s="67"/>
      <c r="C46" s="68"/>
      <c r="D46" s="67"/>
      <c r="E46" s="68"/>
      <c r="G46" s="4" t="s">
        <v>22</v>
      </c>
      <c r="H46" s="5"/>
      <c r="I46" s="5" t="e">
        <f>+#REF!/#REF!</f>
        <v>#REF!</v>
      </c>
      <c r="J46" s="5"/>
      <c r="R46" s="73"/>
    </row>
    <row r="47" spans="1:19" x14ac:dyDescent="0.2">
      <c r="A47" s="11" t="s">
        <v>2</v>
      </c>
      <c r="B47" s="60">
        <v>20000</v>
      </c>
      <c r="C47" s="61">
        <f t="shared" ref="C47:C56" si="3">+B47/$B$3</f>
        <v>33.333333333333336</v>
      </c>
      <c r="D47" s="60">
        <f>+B47</f>
        <v>20000</v>
      </c>
      <c r="E47" s="61">
        <f t="shared" ref="E47:E56" si="4">+D47/$B$3</f>
        <v>33.333333333333336</v>
      </c>
      <c r="G47" s="4" t="s">
        <v>23</v>
      </c>
      <c r="H47" s="5"/>
      <c r="I47" s="5"/>
      <c r="J47" s="5" t="e">
        <f>+#REF!/J44</f>
        <v>#REF!</v>
      </c>
      <c r="R47" s="86" t="s">
        <v>100</v>
      </c>
      <c r="S47" s="85" t="s">
        <v>101</v>
      </c>
    </row>
    <row r="48" spans="1:19" x14ac:dyDescent="0.2">
      <c r="A48" s="11" t="s">
        <v>1</v>
      </c>
      <c r="B48" s="60">
        <v>20000</v>
      </c>
      <c r="C48" s="61">
        <f t="shared" si="3"/>
        <v>33.333333333333336</v>
      </c>
      <c r="D48" s="60">
        <f>+B48</f>
        <v>20000</v>
      </c>
      <c r="E48" s="61">
        <f t="shared" si="4"/>
        <v>33.333333333333336</v>
      </c>
      <c r="Q48" s="4" t="s">
        <v>102</v>
      </c>
      <c r="R48" s="73">
        <f>+C45</f>
        <v>-782.56266666666488</v>
      </c>
      <c r="S48" s="73">
        <f>+E45</f>
        <v>15553.052777777779</v>
      </c>
    </row>
    <row r="49" spans="1:19" x14ac:dyDescent="0.2">
      <c r="A49" s="11" t="s">
        <v>141</v>
      </c>
      <c r="B49" s="60"/>
      <c r="C49" s="61"/>
      <c r="D49" s="60"/>
      <c r="E49" s="61"/>
      <c r="R49" s="73"/>
      <c r="S49" s="73"/>
    </row>
    <row r="50" spans="1:19" x14ac:dyDescent="0.2">
      <c r="A50" s="11" t="s">
        <v>3</v>
      </c>
      <c r="B50" s="60">
        <v>36000</v>
      </c>
      <c r="C50" s="61">
        <f t="shared" si="3"/>
        <v>60</v>
      </c>
      <c r="D50" s="60">
        <f>+B50</f>
        <v>36000</v>
      </c>
      <c r="E50" s="61">
        <f t="shared" si="4"/>
        <v>60</v>
      </c>
      <c r="G50" s="5" t="s">
        <v>24</v>
      </c>
      <c r="H50" s="5">
        <v>80000</v>
      </c>
      <c r="I50" s="5">
        <v>400</v>
      </c>
      <c r="J50" s="5">
        <v>400</v>
      </c>
      <c r="Q50" s="4" t="s">
        <v>12</v>
      </c>
      <c r="R50" s="73">
        <f>+B56+B54</f>
        <v>272000</v>
      </c>
      <c r="S50" s="73">
        <f>+R50</f>
        <v>272000</v>
      </c>
    </row>
    <row r="51" spans="1:19" x14ac:dyDescent="0.2">
      <c r="A51" s="11" t="s">
        <v>4</v>
      </c>
      <c r="B51" s="60">
        <v>25000</v>
      </c>
      <c r="C51" s="61">
        <f t="shared" si="3"/>
        <v>41.666666666666664</v>
      </c>
      <c r="D51" s="60">
        <f>+B51</f>
        <v>25000</v>
      </c>
      <c r="E51" s="61">
        <f t="shared" si="4"/>
        <v>41.666666666666664</v>
      </c>
      <c r="G51" s="5"/>
      <c r="H51" s="5" t="s">
        <v>13</v>
      </c>
      <c r="I51" s="5" t="s">
        <v>9</v>
      </c>
      <c r="J51" s="5" t="s">
        <v>8</v>
      </c>
      <c r="Q51" s="4" t="s">
        <v>103</v>
      </c>
      <c r="R51" s="32">
        <f>+R50/R48</f>
        <v>-347.57599817352298</v>
      </c>
      <c r="S51" s="32">
        <f>+S50/S48</f>
        <v>17.48852806496188</v>
      </c>
    </row>
    <row r="52" spans="1:19" x14ac:dyDescent="0.2">
      <c r="A52" s="11" t="s">
        <v>30</v>
      </c>
      <c r="B52" s="60">
        <v>40000</v>
      </c>
      <c r="C52" s="61">
        <f t="shared" si="3"/>
        <v>66.666666666666671</v>
      </c>
      <c r="D52" s="60">
        <f>+B52</f>
        <v>40000</v>
      </c>
      <c r="E52" s="61">
        <f t="shared" si="4"/>
        <v>66.666666666666671</v>
      </c>
      <c r="G52" s="5" t="s">
        <v>15</v>
      </c>
      <c r="H52" s="5">
        <v>47895</v>
      </c>
      <c r="I52" s="5">
        <v>239.47499999999999</v>
      </c>
      <c r="J52" s="5">
        <v>239.47499999999999</v>
      </c>
    </row>
    <row r="53" spans="1:19" x14ac:dyDescent="0.2">
      <c r="A53" s="11" t="s">
        <v>113</v>
      </c>
      <c r="B53" s="60">
        <v>36000</v>
      </c>
      <c r="C53" s="61">
        <f t="shared" si="3"/>
        <v>60</v>
      </c>
      <c r="D53" s="60">
        <v>36000</v>
      </c>
      <c r="E53" s="61">
        <f t="shared" si="4"/>
        <v>60</v>
      </c>
      <c r="G53" s="5" t="s">
        <v>18</v>
      </c>
      <c r="H53" s="5">
        <v>38736.81</v>
      </c>
      <c r="I53" s="5">
        <v>193.68404999999998</v>
      </c>
      <c r="J53" s="5">
        <v>193.68404999999998</v>
      </c>
    </row>
    <row r="54" spans="1:19" ht="13.5" thickBot="1" x14ac:dyDescent="0.25">
      <c r="A54" s="10" t="s">
        <v>5</v>
      </c>
      <c r="B54" s="62">
        <f>SUM(B47:B53)</f>
        <v>177000</v>
      </c>
      <c r="C54" s="61">
        <f t="shared" si="3"/>
        <v>295</v>
      </c>
      <c r="D54" s="60">
        <f>+B54</f>
        <v>177000</v>
      </c>
      <c r="E54" s="61">
        <f t="shared" si="4"/>
        <v>295</v>
      </c>
      <c r="G54" s="5" t="s">
        <v>16</v>
      </c>
      <c r="H54" s="5">
        <v>1750</v>
      </c>
      <c r="I54" s="5">
        <v>8.75</v>
      </c>
      <c r="J54" s="5">
        <v>8.75</v>
      </c>
    </row>
    <row r="55" spans="1:19" ht="13.5" thickBot="1" x14ac:dyDescent="0.25">
      <c r="A55" s="8" t="s">
        <v>95</v>
      </c>
      <c r="B55" s="63">
        <f>+B45-B54</f>
        <v>-646537.59999999776</v>
      </c>
      <c r="C55" s="64">
        <f t="shared" si="3"/>
        <v>-1077.5626666666628</v>
      </c>
      <c r="D55" s="63">
        <f>+D45-D54</f>
        <v>9154831.666666666</v>
      </c>
      <c r="E55" s="64">
        <f t="shared" si="4"/>
        <v>15258.052777777777</v>
      </c>
      <c r="G55" s="5" t="s">
        <v>17</v>
      </c>
      <c r="H55" s="5">
        <v>11670</v>
      </c>
      <c r="I55" s="5">
        <v>58.35</v>
      </c>
      <c r="J55" s="5">
        <v>29.175000000000001</v>
      </c>
    </row>
    <row r="56" spans="1:19" ht="13.5" thickBot="1" x14ac:dyDescent="0.25">
      <c r="A56" s="8" t="s">
        <v>6</v>
      </c>
      <c r="B56" s="71">
        <v>95000</v>
      </c>
      <c r="C56" s="70">
        <f t="shared" si="3"/>
        <v>158.33333333333334</v>
      </c>
      <c r="D56" s="71">
        <f>+B56</f>
        <v>95000</v>
      </c>
      <c r="E56" s="70">
        <f t="shared" si="4"/>
        <v>158.33333333333334</v>
      </c>
      <c r="G56" s="5" t="s">
        <v>19</v>
      </c>
      <c r="H56" s="5">
        <v>2400</v>
      </c>
      <c r="I56" s="5">
        <v>12</v>
      </c>
      <c r="J56" s="5">
        <v>12</v>
      </c>
      <c r="Q56" s="73"/>
    </row>
    <row r="57" spans="1:19" ht="13.5" thickBot="1" x14ac:dyDescent="0.25">
      <c r="A57" s="8" t="s">
        <v>96</v>
      </c>
      <c r="B57" s="72"/>
      <c r="C57" s="63">
        <f>+(B56+B54)/C45</f>
        <v>-347.57599817352298</v>
      </c>
      <c r="D57" s="72"/>
      <c r="E57" s="63">
        <f>+(D56+D54)/E45</f>
        <v>17.48852806496188</v>
      </c>
      <c r="G57" s="5" t="s">
        <v>14</v>
      </c>
      <c r="H57" s="5">
        <v>28755</v>
      </c>
      <c r="I57" s="5"/>
      <c r="J57" s="5"/>
    </row>
    <row r="58" spans="1:19" ht="13.5" thickBot="1" x14ac:dyDescent="0.25">
      <c r="A58" s="75" t="s">
        <v>92</v>
      </c>
      <c r="B58" s="184">
        <f>+B45/B43</f>
        <v>-3.4592131678332541E-2</v>
      </c>
      <c r="C58" s="185"/>
      <c r="D58" s="184">
        <f>+D45/D43</f>
        <v>0.58950263765917155</v>
      </c>
      <c r="E58" s="185"/>
      <c r="H58" s="5" t="s">
        <v>12</v>
      </c>
      <c r="I58" s="5">
        <v>52806.81</v>
      </c>
      <c r="J58" s="5"/>
      <c r="K58" s="5"/>
    </row>
    <row r="59" spans="1:19" x14ac:dyDescent="0.2">
      <c r="B59" s="4" t="s">
        <v>99</v>
      </c>
    </row>
    <row r="60" spans="1:19" x14ac:dyDescent="0.2">
      <c r="A60" s="54" t="s">
        <v>31</v>
      </c>
      <c r="B60" s="55">
        <v>0</v>
      </c>
      <c r="C60" s="55">
        <v>10</v>
      </c>
      <c r="D60" s="55">
        <v>30</v>
      </c>
      <c r="E60" s="55">
        <v>40</v>
      </c>
    </row>
    <row r="61" spans="1:19" x14ac:dyDescent="0.2">
      <c r="A61" s="56" t="s">
        <v>26</v>
      </c>
      <c r="B61" s="57" t="e">
        <f>#REF!*B60</f>
        <v>#REF!</v>
      </c>
      <c r="C61" s="57" t="e">
        <f>#REF!*C60</f>
        <v>#REF!</v>
      </c>
      <c r="D61" s="57" t="e">
        <f>#REF!*D60</f>
        <v>#REF!</v>
      </c>
      <c r="E61" s="57" t="e">
        <f>#REF!*E60</f>
        <v>#REF!</v>
      </c>
    </row>
    <row r="62" spans="1:19" x14ac:dyDescent="0.2">
      <c r="A62" s="56" t="s">
        <v>12</v>
      </c>
      <c r="B62" s="57">
        <f>$B$54+$B$56</f>
        <v>272000</v>
      </c>
      <c r="C62" s="57">
        <f>$B$54+$B$56</f>
        <v>272000</v>
      </c>
      <c r="D62" s="57">
        <f>$B$54+$B$56</f>
        <v>272000</v>
      </c>
      <c r="E62" s="57">
        <f>$B$54+$B$56</f>
        <v>272000</v>
      </c>
    </row>
    <row r="63" spans="1:19" x14ac:dyDescent="0.2">
      <c r="A63" s="56" t="s">
        <v>27</v>
      </c>
      <c r="B63" s="57">
        <f>B60*$C$43</f>
        <v>0</v>
      </c>
      <c r="C63" s="57">
        <f>C60*$C$43</f>
        <v>226225.62666666665</v>
      </c>
      <c r="D63" s="57">
        <f>D60*$C$43</f>
        <v>678676.87999999989</v>
      </c>
      <c r="E63" s="57">
        <f>E60*$C$43</f>
        <v>904902.5066666666</v>
      </c>
    </row>
    <row r="64" spans="1:19" x14ac:dyDescent="0.2">
      <c r="A64" s="56" t="s">
        <v>28</v>
      </c>
      <c r="B64" s="57">
        <f t="shared" ref="B64:E64" si="5">+B63+B62</f>
        <v>272000</v>
      </c>
      <c r="C64" s="57">
        <f t="shared" si="5"/>
        <v>498225.62666666665</v>
      </c>
      <c r="D64" s="57">
        <f t="shared" si="5"/>
        <v>950676.87999999989</v>
      </c>
      <c r="E64" s="57">
        <f t="shared" si="5"/>
        <v>1176902.5066666666</v>
      </c>
    </row>
  </sheetData>
  <mergeCells count="6">
    <mergeCell ref="A1:E1"/>
    <mergeCell ref="A2:E2"/>
    <mergeCell ref="B58:C58"/>
    <mergeCell ref="D58:E58"/>
    <mergeCell ref="B33:C33"/>
    <mergeCell ref="D33:E33"/>
  </mergeCells>
  <phoneticPr fontId="7" type="noConversion"/>
  <printOptions horizontalCentered="1"/>
  <pageMargins left="0" right="0" top="0.39370078740157483" bottom="0" header="0" footer="0"/>
  <pageSetup paperSize="9" scale="95" orientation="portrait" horizontalDpi="4294967295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77" r:id="rId4">
          <objectPr defaultSize="0" autoPict="0" r:id="rId5">
            <anchor moveWithCells="1" siz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1562100</xdr:colOff>
                <xdr:row>101</xdr:row>
                <xdr:rowOff>0</xdr:rowOff>
              </to>
            </anchor>
          </objectPr>
        </oleObject>
      </mc:Choice>
      <mc:Fallback>
        <oleObject progId="Equation.3" shapeId="7177" r:id="rId4"/>
      </mc:Fallback>
    </mc:AlternateContent>
    <mc:AlternateContent xmlns:mc="http://schemas.openxmlformats.org/markup-compatibility/2006">
      <mc:Choice Requires="x14">
        <oleObject progId="Equation.3" shapeId="7176" r:id="rId6">
          <objectPr defaultSize="0" autoPict="0" r:id="rId7">
            <anchor moveWithCells="1" sizeWithCells="1">
              <from>
                <xdr:col>3</xdr:col>
                <xdr:colOff>0</xdr:colOff>
                <xdr:row>101</xdr:row>
                <xdr:rowOff>0</xdr:rowOff>
              </from>
              <to>
                <xdr:col>4</xdr:col>
                <xdr:colOff>428625</xdr:colOff>
                <xdr:row>101</xdr:row>
                <xdr:rowOff>0</xdr:rowOff>
              </to>
            </anchor>
          </objectPr>
        </oleObject>
      </mc:Choice>
      <mc:Fallback>
        <oleObject progId="Equation.3" shapeId="7176" r:id="rId6"/>
      </mc:Fallback>
    </mc:AlternateContent>
    <mc:AlternateContent xmlns:mc="http://schemas.openxmlformats.org/markup-compatibility/2006">
      <mc:Choice Requires="x14">
        <oleObject progId="Equation.3" shapeId="7175" r:id="rId8">
          <objectPr defaultSize="0" autoPict="0" r:id="rId9">
            <anchor moveWithCells="1" siz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1857375</xdr:colOff>
                <xdr:row>101</xdr:row>
                <xdr:rowOff>0</xdr:rowOff>
              </to>
            </anchor>
          </objectPr>
        </oleObject>
      </mc:Choice>
      <mc:Fallback>
        <oleObject progId="Equation.3" shapeId="7175" r:id="rId8"/>
      </mc:Fallback>
    </mc:AlternateContent>
    <mc:AlternateContent xmlns:mc="http://schemas.openxmlformats.org/markup-compatibility/2006">
      <mc:Choice Requires="x14">
        <oleObject progId="Equation.3" shapeId="7174" r:id="rId10">
          <objectPr defaultSize="0" autoPict="0" r:id="rId11">
            <anchor moveWithCells="1" sizeWithCells="1">
              <from>
                <xdr:col>3</xdr:col>
                <xdr:colOff>0</xdr:colOff>
                <xdr:row>101</xdr:row>
                <xdr:rowOff>0</xdr:rowOff>
              </from>
              <to>
                <xdr:col>4</xdr:col>
                <xdr:colOff>428625</xdr:colOff>
                <xdr:row>101</xdr:row>
                <xdr:rowOff>0</xdr:rowOff>
              </to>
            </anchor>
          </objectPr>
        </oleObject>
      </mc:Choice>
      <mc:Fallback>
        <oleObject progId="Equation.3" shapeId="7174" r:id="rId10"/>
      </mc:Fallback>
    </mc:AlternateContent>
    <mc:AlternateContent xmlns:mc="http://schemas.openxmlformats.org/markup-compatibility/2006">
      <mc:Choice Requires="x14">
        <oleObject progId="Equation.3" shapeId="7173" r:id="rId12">
          <objectPr defaultSize="0" autoPict="0" r:id="rId13">
            <anchor moveWithCells="1" siz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1838325</xdr:colOff>
                <xdr:row>101</xdr:row>
                <xdr:rowOff>0</xdr:rowOff>
              </to>
            </anchor>
          </objectPr>
        </oleObject>
      </mc:Choice>
      <mc:Fallback>
        <oleObject progId="Equation.3" shapeId="7173" r:id="rId12"/>
      </mc:Fallback>
    </mc:AlternateContent>
    <mc:AlternateContent xmlns:mc="http://schemas.openxmlformats.org/markup-compatibility/2006">
      <mc:Choice Requires="x14">
        <oleObject progId="Equation.3" shapeId="7172" r:id="rId14">
          <objectPr defaultSize="0" autoPict="0" r:id="rId15">
            <anchor moveWithCells="1" sizeWithCells="1">
              <from>
                <xdr:col>2</xdr:col>
                <xdr:colOff>0</xdr:colOff>
                <xdr:row>101</xdr:row>
                <xdr:rowOff>0</xdr:rowOff>
              </from>
              <to>
                <xdr:col>4</xdr:col>
                <xdr:colOff>9525</xdr:colOff>
                <xdr:row>101</xdr:row>
                <xdr:rowOff>0</xdr:rowOff>
              </to>
            </anchor>
          </objectPr>
        </oleObject>
      </mc:Choice>
      <mc:Fallback>
        <oleObject progId="Equation.3" shapeId="7172" r:id="rId14"/>
      </mc:Fallback>
    </mc:AlternateContent>
    <mc:AlternateContent xmlns:mc="http://schemas.openxmlformats.org/markup-compatibility/2006">
      <mc:Choice Requires="x14">
        <oleObject progId="Equation.3" shapeId="7171" r:id="rId16">
          <objectPr defaultSize="0" autoPict="0" r:id="rId17">
            <anchor moveWithCells="1" sizeWithCells="1">
              <from>
                <xdr:col>0</xdr:col>
                <xdr:colOff>0</xdr:colOff>
                <xdr:row>101</xdr:row>
                <xdr:rowOff>0</xdr:rowOff>
              </from>
              <to>
                <xdr:col>0</xdr:col>
                <xdr:colOff>1924050</xdr:colOff>
                <xdr:row>101</xdr:row>
                <xdr:rowOff>0</xdr:rowOff>
              </to>
            </anchor>
          </objectPr>
        </oleObject>
      </mc:Choice>
      <mc:Fallback>
        <oleObject progId="Equation.3" shapeId="7171" r:id="rId16"/>
      </mc:Fallback>
    </mc:AlternateContent>
    <mc:AlternateContent xmlns:mc="http://schemas.openxmlformats.org/markup-compatibility/2006">
      <mc:Choice Requires="x14">
        <oleObject progId="Equation.3" shapeId="7170" r:id="rId18">
          <objectPr defaultSize="0" autoPict="0" r:id="rId19">
            <anchor moveWithCells="1" sizeWithCells="1">
              <from>
                <xdr:col>2</xdr:col>
                <xdr:colOff>0</xdr:colOff>
                <xdr:row>101</xdr:row>
                <xdr:rowOff>0</xdr:rowOff>
              </from>
              <to>
                <xdr:col>4</xdr:col>
                <xdr:colOff>95250</xdr:colOff>
                <xdr:row>101</xdr:row>
                <xdr:rowOff>0</xdr:rowOff>
              </to>
            </anchor>
          </objectPr>
        </oleObject>
      </mc:Choice>
      <mc:Fallback>
        <oleObject progId="Equation.3" shapeId="7170" r:id="rId1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="145" zoomScaleNormal="145" workbookViewId="0">
      <pane xSplit="1" topLeftCell="B1" activePane="topRight" state="frozen"/>
      <selection pane="topRight" activeCell="B17" sqref="B17"/>
    </sheetView>
  </sheetViews>
  <sheetFormatPr baseColWidth="10" defaultRowHeight="12.75" x14ac:dyDescent="0.2"/>
  <cols>
    <col min="1" max="1" width="35.28515625" style="4" customWidth="1"/>
    <col min="2" max="2" width="13.140625" style="4" customWidth="1"/>
    <col min="3" max="3" width="9.140625" style="4" customWidth="1"/>
    <col min="4" max="4" width="11.140625" style="4" customWidth="1"/>
    <col min="5" max="5" width="9.140625" style="4" customWidth="1"/>
    <col min="6" max="6" width="10.140625" style="4" bestFit="1" customWidth="1"/>
    <col min="7" max="16384" width="11.42578125" style="4"/>
  </cols>
  <sheetData>
    <row r="1" spans="1:6" x14ac:dyDescent="0.2">
      <c r="A1" s="183" t="s">
        <v>76</v>
      </c>
      <c r="B1" s="183"/>
      <c r="C1" s="183"/>
      <c r="D1" s="183"/>
      <c r="E1" s="183"/>
      <c r="F1" s="1"/>
    </row>
    <row r="2" spans="1:6" ht="13.5" thickBot="1" x14ac:dyDescent="0.25">
      <c r="A2" s="183" t="s">
        <v>114</v>
      </c>
      <c r="B2" s="183"/>
      <c r="C2" s="183"/>
      <c r="D2" s="183"/>
      <c r="E2" s="183"/>
      <c r="F2" s="1"/>
    </row>
    <row r="3" spans="1:6" ht="14.25" thickBot="1" x14ac:dyDescent="0.25">
      <c r="A3" s="125" t="s">
        <v>74</v>
      </c>
      <c r="B3" s="126">
        <v>600</v>
      </c>
      <c r="C3" s="127" t="s">
        <v>107</v>
      </c>
      <c r="D3" s="1"/>
      <c r="E3" s="1"/>
      <c r="F3" s="1"/>
    </row>
    <row r="4" spans="1:6" x14ac:dyDescent="0.2">
      <c r="A4" s="192" t="s">
        <v>178</v>
      </c>
      <c r="B4" s="121">
        <v>14</v>
      </c>
      <c r="C4" s="122" t="s">
        <v>153</v>
      </c>
      <c r="D4" s="1"/>
      <c r="E4" s="1"/>
      <c r="F4" s="1"/>
    </row>
    <row r="5" spans="1:6" ht="13.5" thickBot="1" x14ac:dyDescent="0.25">
      <c r="A5" s="193"/>
      <c r="B5" s="123">
        <f>B4*30</f>
        <v>420</v>
      </c>
      <c r="C5" s="124" t="s">
        <v>154</v>
      </c>
      <c r="D5" s="1"/>
      <c r="E5" s="1"/>
      <c r="F5" s="1"/>
    </row>
    <row r="6" spans="1:6" ht="13.5" thickBot="1" x14ac:dyDescent="0.25">
      <c r="A6" s="2"/>
      <c r="B6" s="3"/>
      <c r="C6" s="2"/>
      <c r="D6" s="1"/>
      <c r="E6" s="1"/>
      <c r="F6" s="1"/>
    </row>
    <row r="7" spans="1:6" x14ac:dyDescent="0.2">
      <c r="A7" s="136"/>
      <c r="B7" s="137" t="s">
        <v>105</v>
      </c>
      <c r="C7" s="138" t="s">
        <v>104</v>
      </c>
      <c r="E7" s="1"/>
      <c r="F7" s="1"/>
    </row>
    <row r="8" spans="1:6" x14ac:dyDescent="0.2">
      <c r="A8" s="139" t="s">
        <v>115</v>
      </c>
      <c r="B8" s="128">
        <f>B3*7</f>
        <v>4200</v>
      </c>
      <c r="C8" s="140">
        <f>B3*10</f>
        <v>6000</v>
      </c>
      <c r="E8" s="1"/>
      <c r="F8" s="1"/>
    </row>
    <row r="9" spans="1:6" x14ac:dyDescent="0.2">
      <c r="A9" s="139" t="s">
        <v>156</v>
      </c>
      <c r="B9" s="128">
        <f>(B8*B12*B5)/12</f>
        <v>117600</v>
      </c>
      <c r="C9" s="140">
        <f>C8*C11*C13</f>
        <v>133434</v>
      </c>
      <c r="E9" s="1"/>
      <c r="F9" s="1"/>
    </row>
    <row r="10" spans="1:6" x14ac:dyDescent="0.2">
      <c r="A10" s="139" t="s">
        <v>131</v>
      </c>
      <c r="B10" s="128">
        <v>250</v>
      </c>
      <c r="C10" s="140">
        <v>220</v>
      </c>
      <c r="E10" s="1"/>
      <c r="F10" s="1"/>
    </row>
    <row r="11" spans="1:6" x14ac:dyDescent="0.2">
      <c r="A11" s="139" t="s">
        <v>155</v>
      </c>
      <c r="B11" s="128">
        <v>1</v>
      </c>
      <c r="C11" s="140">
        <f>ROUND(+B5/(49+14),0)</f>
        <v>7</v>
      </c>
      <c r="E11" s="1"/>
      <c r="F11" s="1"/>
    </row>
    <row r="12" spans="1:6" x14ac:dyDescent="0.2">
      <c r="A12" s="139" t="s">
        <v>128</v>
      </c>
      <c r="B12" s="129">
        <v>0.8</v>
      </c>
      <c r="C12" s="140">
        <v>0</v>
      </c>
      <c r="E12" s="1"/>
      <c r="F12" s="1"/>
    </row>
    <row r="13" spans="1:6" x14ac:dyDescent="0.2">
      <c r="A13" s="139" t="s">
        <v>129</v>
      </c>
      <c r="B13" s="128">
        <v>2</v>
      </c>
      <c r="C13" s="141">
        <v>3.177</v>
      </c>
      <c r="E13" s="1"/>
      <c r="F13" s="1"/>
    </row>
    <row r="14" spans="1:6" x14ac:dyDescent="0.2">
      <c r="A14" s="139"/>
      <c r="B14" s="128"/>
      <c r="C14" s="140"/>
      <c r="E14" s="1"/>
      <c r="F14" s="1"/>
    </row>
    <row r="15" spans="1:6" x14ac:dyDescent="0.2">
      <c r="A15" s="142" t="s">
        <v>116</v>
      </c>
      <c r="B15" s="130">
        <v>175</v>
      </c>
      <c r="C15" s="143">
        <v>77</v>
      </c>
      <c r="E15" s="1"/>
      <c r="F15" s="1"/>
    </row>
    <row r="16" spans="1:6" x14ac:dyDescent="0.2">
      <c r="A16" s="142" t="s">
        <v>157</v>
      </c>
      <c r="B16" s="130">
        <f>CA!B13</f>
        <v>720</v>
      </c>
      <c r="C16" s="143">
        <v>0</v>
      </c>
      <c r="E16" s="1"/>
      <c r="F16" s="1"/>
    </row>
    <row r="17" spans="1:6" x14ac:dyDescent="0.2">
      <c r="A17" s="142" t="s">
        <v>165</v>
      </c>
      <c r="B17" s="214">
        <v>150</v>
      </c>
      <c r="C17" s="143">
        <v>0</v>
      </c>
      <c r="E17" s="1"/>
      <c r="F17" s="1"/>
    </row>
    <row r="18" spans="1:6" x14ac:dyDescent="0.2">
      <c r="A18" s="142"/>
      <c r="B18" s="130"/>
      <c r="C18" s="143"/>
      <c r="E18" s="1"/>
      <c r="F18" s="1"/>
    </row>
    <row r="19" spans="1:6" x14ac:dyDescent="0.2">
      <c r="A19" s="153" t="s">
        <v>120</v>
      </c>
      <c r="B19" s="131">
        <f>CA!E23</f>
        <v>147.49047619047619</v>
      </c>
      <c r="C19" s="145">
        <f>CA!E48</f>
        <v>16.332222222222221</v>
      </c>
      <c r="D19" s="1"/>
      <c r="E19" s="1"/>
      <c r="F19" s="1"/>
    </row>
    <row r="20" spans="1:6" x14ac:dyDescent="0.2">
      <c r="A20" s="152" t="s">
        <v>121</v>
      </c>
      <c r="B20" s="132"/>
      <c r="C20" s="146"/>
      <c r="D20" s="1"/>
      <c r="E20" s="1"/>
      <c r="F20" s="1"/>
    </row>
    <row r="21" spans="1:6" x14ac:dyDescent="0.2">
      <c r="A21" s="144" t="s">
        <v>124</v>
      </c>
      <c r="B21" s="132">
        <v>20</v>
      </c>
      <c r="C21" s="147">
        <f>5*C11</f>
        <v>35</v>
      </c>
      <c r="D21" s="1"/>
      <c r="E21" s="1"/>
      <c r="F21" s="1"/>
    </row>
    <row r="22" spans="1:6" x14ac:dyDescent="0.2">
      <c r="A22" s="144" t="s">
        <v>125</v>
      </c>
      <c r="B22" s="132">
        <v>850</v>
      </c>
      <c r="C22" s="146">
        <v>850</v>
      </c>
      <c r="D22" s="1"/>
      <c r="E22" s="1"/>
      <c r="F22" s="1"/>
    </row>
    <row r="23" spans="1:6" x14ac:dyDescent="0.2">
      <c r="A23" s="144"/>
      <c r="B23" s="132"/>
      <c r="C23" s="146"/>
      <c r="D23" s="1"/>
      <c r="E23" s="1"/>
      <c r="F23" s="1"/>
    </row>
    <row r="24" spans="1:6" x14ac:dyDescent="0.2">
      <c r="A24" s="153" t="s">
        <v>122</v>
      </c>
      <c r="B24" s="132">
        <v>52000</v>
      </c>
      <c r="C24" s="146">
        <v>52000</v>
      </c>
      <c r="D24" s="1"/>
      <c r="E24" s="1"/>
      <c r="F24" s="1"/>
    </row>
    <row r="25" spans="1:6" x14ac:dyDescent="0.2">
      <c r="A25" s="144"/>
      <c r="B25" s="132"/>
      <c r="C25" s="146"/>
      <c r="D25" s="1"/>
      <c r="E25" s="1"/>
      <c r="F25" s="1"/>
    </row>
    <row r="26" spans="1:6" x14ac:dyDescent="0.2">
      <c r="A26" s="152" t="s">
        <v>123</v>
      </c>
      <c r="B26" s="132"/>
      <c r="C26" s="148">
        <v>0</v>
      </c>
      <c r="D26" s="1"/>
      <c r="E26" s="1"/>
      <c r="F26" s="1"/>
    </row>
    <row r="27" spans="1:6" x14ac:dyDescent="0.2">
      <c r="A27" s="144" t="s">
        <v>115</v>
      </c>
      <c r="B27" s="133">
        <f>B9*12/30</f>
        <v>47040</v>
      </c>
      <c r="C27" s="148">
        <v>0</v>
      </c>
      <c r="D27" s="1"/>
      <c r="E27" s="1"/>
      <c r="F27" s="1"/>
    </row>
    <row r="28" spans="1:6" x14ac:dyDescent="0.2">
      <c r="A28" s="144" t="s">
        <v>130</v>
      </c>
      <c r="B28" s="134">
        <v>8.73</v>
      </c>
      <c r="C28" s="148">
        <v>0</v>
      </c>
      <c r="D28" s="1"/>
      <c r="E28" s="1"/>
      <c r="F28" s="1"/>
    </row>
    <row r="29" spans="1:6" x14ac:dyDescent="0.2">
      <c r="A29" s="144"/>
      <c r="B29" s="134"/>
      <c r="C29" s="148"/>
      <c r="D29" s="1"/>
      <c r="E29" s="1"/>
      <c r="F29" s="1"/>
    </row>
    <row r="30" spans="1:6" x14ac:dyDescent="0.2">
      <c r="A30" s="153" t="s">
        <v>117</v>
      </c>
      <c r="B30" s="128"/>
      <c r="C30" s="148"/>
      <c r="D30" s="1"/>
      <c r="E30" s="1"/>
      <c r="F30" s="1"/>
    </row>
    <row r="31" spans="1:6" x14ac:dyDescent="0.2">
      <c r="A31" s="144" t="s">
        <v>118</v>
      </c>
      <c r="B31" s="132">
        <f>CA!B9</f>
        <v>56.6</v>
      </c>
      <c r="C31" s="148">
        <f>CA!B36</f>
        <v>6.4980000000000002</v>
      </c>
      <c r="D31" s="1"/>
      <c r="E31" s="1"/>
      <c r="F31" s="1"/>
    </row>
    <row r="32" spans="1:6" x14ac:dyDescent="0.2">
      <c r="A32" s="144" t="s">
        <v>119</v>
      </c>
      <c r="B32" s="135">
        <f>CA!B10</f>
        <v>50.058303886925785</v>
      </c>
      <c r="C32" s="148">
        <f>CA!B37</f>
        <v>55.087526931363492</v>
      </c>
      <c r="D32" s="1"/>
      <c r="E32" s="1"/>
      <c r="F32" s="1"/>
    </row>
    <row r="33" spans="1:6" x14ac:dyDescent="0.2">
      <c r="A33" s="144"/>
      <c r="B33" s="128"/>
      <c r="C33" s="148"/>
      <c r="D33" s="1"/>
      <c r="E33" s="1"/>
      <c r="F33" s="1"/>
    </row>
    <row r="34" spans="1:6" x14ac:dyDescent="0.2">
      <c r="A34" s="152" t="s">
        <v>141</v>
      </c>
      <c r="B34" s="132"/>
      <c r="C34" s="146"/>
      <c r="D34" s="1"/>
      <c r="E34" s="1"/>
      <c r="F34" s="1"/>
    </row>
    <row r="35" spans="1:6" x14ac:dyDescent="0.2">
      <c r="A35" s="144" t="s">
        <v>159</v>
      </c>
      <c r="B35" s="128">
        <v>52570</v>
      </c>
      <c r="C35" s="148">
        <v>52570</v>
      </c>
      <c r="D35" s="1"/>
      <c r="E35" s="1"/>
      <c r="F35" s="1"/>
    </row>
    <row r="36" spans="1:6" x14ac:dyDescent="0.2">
      <c r="A36" s="144" t="s">
        <v>115</v>
      </c>
      <c r="B36" s="132">
        <v>2</v>
      </c>
      <c r="C36" s="146">
        <v>2</v>
      </c>
      <c r="D36" s="1"/>
      <c r="E36" s="1"/>
      <c r="F36" s="1"/>
    </row>
    <row r="37" spans="1:6" ht="13.5" thickBot="1" x14ac:dyDescent="0.25">
      <c r="A37" s="149" t="s">
        <v>160</v>
      </c>
      <c r="B37" s="150">
        <f>B35*($B$4+1)*B36</f>
        <v>1577100</v>
      </c>
      <c r="C37" s="151">
        <f>C35*($B$4+1)*C36</f>
        <v>1577100</v>
      </c>
      <c r="D37" s="1"/>
      <c r="E37" s="1"/>
      <c r="F37" s="1"/>
    </row>
    <row r="38" spans="1:6" ht="13.5" thickBot="1" x14ac:dyDescent="0.25">
      <c r="A38" s="2"/>
      <c r="B38" s="3"/>
      <c r="C38" s="2"/>
      <c r="D38" s="1"/>
      <c r="E38" s="1"/>
      <c r="F38" s="1"/>
    </row>
    <row r="39" spans="1:6" ht="13.5" thickBot="1" x14ac:dyDescent="0.25">
      <c r="A39" s="1"/>
      <c r="B39" s="186" t="s">
        <v>105</v>
      </c>
      <c r="C39" s="187"/>
      <c r="D39" s="186" t="s">
        <v>104</v>
      </c>
      <c r="E39" s="188"/>
    </row>
    <row r="40" spans="1:6" ht="13.5" thickBot="1" x14ac:dyDescent="0.25">
      <c r="A40" s="156"/>
      <c r="B40" s="6" t="s">
        <v>109</v>
      </c>
      <c r="C40" s="157" t="s">
        <v>161</v>
      </c>
      <c r="D40" s="6" t="s">
        <v>109</v>
      </c>
      <c r="E40" s="6" t="s">
        <v>162</v>
      </c>
    </row>
    <row r="41" spans="1:6" x14ac:dyDescent="0.2">
      <c r="A41" s="160" t="s">
        <v>106</v>
      </c>
      <c r="B41" s="163">
        <f>B9</f>
        <v>117600</v>
      </c>
      <c r="C41" s="165"/>
      <c r="D41" s="58">
        <f>C9</f>
        <v>133434</v>
      </c>
      <c r="E41" s="170"/>
    </row>
    <row r="42" spans="1:6" x14ac:dyDescent="0.2">
      <c r="A42" s="8" t="s">
        <v>94</v>
      </c>
      <c r="B42" s="120">
        <v>180</v>
      </c>
      <c r="C42" s="166"/>
      <c r="D42" s="60">
        <f>C10</f>
        <v>220</v>
      </c>
      <c r="E42" s="158"/>
    </row>
    <row r="43" spans="1:6" x14ac:dyDescent="0.2">
      <c r="A43" s="119" t="s">
        <v>164</v>
      </c>
      <c r="B43" s="60">
        <f>B17*B8*B13</f>
        <v>1260000</v>
      </c>
      <c r="C43" s="166"/>
      <c r="D43" s="60"/>
      <c r="E43" s="158"/>
    </row>
    <row r="44" spans="1:6" x14ac:dyDescent="0.2">
      <c r="A44" s="8" t="s">
        <v>98</v>
      </c>
      <c r="B44" s="60">
        <f>B41*B42+B43</f>
        <v>22428000</v>
      </c>
      <c r="C44" s="167">
        <f>(B41*B42)/B9</f>
        <v>180</v>
      </c>
      <c r="D44" s="60">
        <f>D41*D42</f>
        <v>29355480</v>
      </c>
      <c r="E44" s="158">
        <f>D44/$C$9</f>
        <v>220</v>
      </c>
    </row>
    <row r="45" spans="1:6" x14ac:dyDescent="0.2">
      <c r="A45" s="161" t="s">
        <v>10</v>
      </c>
      <c r="B45" s="67"/>
      <c r="C45" s="68"/>
      <c r="D45" s="67"/>
      <c r="E45" s="159"/>
    </row>
    <row r="46" spans="1:6" x14ac:dyDescent="0.2">
      <c r="A46" s="161" t="s">
        <v>11</v>
      </c>
      <c r="B46" s="67"/>
      <c r="C46" s="68"/>
      <c r="D46" s="67"/>
      <c r="E46" s="159"/>
    </row>
    <row r="47" spans="1:6" ht="14.25" customHeight="1" x14ac:dyDescent="0.2">
      <c r="A47" s="9" t="s">
        <v>110</v>
      </c>
      <c r="B47" s="164">
        <f>B8*B11*B31*B32</f>
        <v>11899859.999999998</v>
      </c>
      <c r="C47" s="168">
        <f>B47/$B$9</f>
        <v>101.1892857142857</v>
      </c>
      <c r="D47" s="60">
        <f>C31*C32*C8*C11</f>
        <v>15034267.5</v>
      </c>
      <c r="E47" s="158">
        <f>D47/$C$9</f>
        <v>112.67193893610325</v>
      </c>
    </row>
    <row r="48" spans="1:6" x14ac:dyDescent="0.2">
      <c r="A48" s="9" t="s">
        <v>111</v>
      </c>
      <c r="B48" s="87">
        <f>B19*B8</f>
        <v>619460</v>
      </c>
      <c r="C48" s="168">
        <f t="shared" ref="C48:C52" si="0">B48/$B$9</f>
        <v>5.2675170068027208</v>
      </c>
      <c r="D48" s="60">
        <f>C19*C8</f>
        <v>97993.333333333328</v>
      </c>
      <c r="E48" s="158">
        <f t="shared" ref="E48:E52" si="1">D48/$C$9</f>
        <v>0.73439553137381275</v>
      </c>
    </row>
    <row r="49" spans="1:6" x14ac:dyDescent="0.2">
      <c r="A49" s="9" t="s">
        <v>112</v>
      </c>
      <c r="B49" s="87">
        <f>B21*B22+B24+B27*B28+B16*B8*B11</f>
        <v>3503659.2</v>
      </c>
      <c r="C49" s="168">
        <f t="shared" si="0"/>
        <v>29.793020408163265</v>
      </c>
      <c r="D49" s="74">
        <f>C21*C22+C24+C15*C8*C11</f>
        <v>3315750</v>
      </c>
      <c r="E49" s="158">
        <f t="shared" si="1"/>
        <v>24.849363730383562</v>
      </c>
    </row>
    <row r="50" spans="1:6" x14ac:dyDescent="0.2">
      <c r="A50" s="10" t="s">
        <v>29</v>
      </c>
      <c r="B50" s="60">
        <f>SUM(B47:B49)</f>
        <v>16022979.199999999</v>
      </c>
      <c r="C50" s="168">
        <f t="shared" si="0"/>
        <v>136.24982312925169</v>
      </c>
      <c r="D50" s="60">
        <f t="shared" ref="D50" si="2">SUM(D47:D49)</f>
        <v>18448010.833333336</v>
      </c>
      <c r="E50" s="158">
        <f t="shared" si="1"/>
        <v>138.25569819786062</v>
      </c>
    </row>
    <row r="51" spans="1:6" ht="13.5" thickBot="1" x14ac:dyDescent="0.25">
      <c r="A51" s="171" t="s">
        <v>0</v>
      </c>
      <c r="B51" s="62">
        <v>0</v>
      </c>
      <c r="C51" s="172">
        <f t="shared" si="0"/>
        <v>0</v>
      </c>
      <c r="D51" s="62">
        <v>0</v>
      </c>
      <c r="E51" s="173">
        <f t="shared" si="1"/>
        <v>0</v>
      </c>
    </row>
    <row r="52" spans="1:6" ht="13.5" thickBot="1" x14ac:dyDescent="0.25">
      <c r="A52" s="174" t="s">
        <v>97</v>
      </c>
      <c r="B52" s="175">
        <f>+B44-B50</f>
        <v>6405020.8000000007</v>
      </c>
      <c r="C52" s="176">
        <f t="shared" si="0"/>
        <v>54.46446258503402</v>
      </c>
      <c r="D52" s="175">
        <f>+D44-D50</f>
        <v>10907469.166666664</v>
      </c>
      <c r="E52" s="177">
        <f t="shared" si="1"/>
        <v>81.744301802139361</v>
      </c>
      <c r="F52" s="73"/>
    </row>
    <row r="53" spans="1:6" x14ac:dyDescent="0.2">
      <c r="A53" s="161" t="s">
        <v>25</v>
      </c>
      <c r="B53" s="67"/>
      <c r="C53" s="68"/>
      <c r="D53" s="67"/>
      <c r="E53" s="159"/>
    </row>
    <row r="54" spans="1:6" x14ac:dyDescent="0.2">
      <c r="A54" s="11" t="s">
        <v>2</v>
      </c>
      <c r="B54" s="60">
        <v>20000</v>
      </c>
      <c r="C54" s="169">
        <f>+B54/$B$9</f>
        <v>0.17006802721088435</v>
      </c>
      <c r="D54" s="60">
        <f>+B54</f>
        <v>20000</v>
      </c>
      <c r="E54" s="158">
        <f>+D54/$C$9</f>
        <v>0.14988683543924336</v>
      </c>
    </row>
    <row r="55" spans="1:6" x14ac:dyDescent="0.2">
      <c r="A55" s="11" t="s">
        <v>1</v>
      </c>
      <c r="B55" s="60">
        <v>20000</v>
      </c>
      <c r="C55" s="169">
        <f t="shared" ref="C55:C61" si="3">+B55/$B$9</f>
        <v>0.17006802721088435</v>
      </c>
      <c r="D55" s="60">
        <f>+B55</f>
        <v>20000</v>
      </c>
      <c r="E55" s="158">
        <f t="shared" ref="E55:E63" si="4">+D55/$C$9</f>
        <v>0.14988683543924336</v>
      </c>
    </row>
    <row r="56" spans="1:6" x14ac:dyDescent="0.2">
      <c r="A56" s="11" t="s">
        <v>141</v>
      </c>
      <c r="B56" s="60">
        <f>B37</f>
        <v>1577100</v>
      </c>
      <c r="C56" s="169">
        <f t="shared" si="3"/>
        <v>13.410714285714286</v>
      </c>
      <c r="D56" s="60">
        <f>C37</f>
        <v>1577100</v>
      </c>
      <c r="E56" s="158">
        <f t="shared" si="4"/>
        <v>11.819326408561537</v>
      </c>
    </row>
    <row r="57" spans="1:6" x14ac:dyDescent="0.2">
      <c r="A57" s="11" t="s">
        <v>3</v>
      </c>
      <c r="B57" s="60">
        <v>36000</v>
      </c>
      <c r="C57" s="169">
        <f t="shared" si="3"/>
        <v>0.30612244897959184</v>
      </c>
      <c r="D57" s="60">
        <f>+B57</f>
        <v>36000</v>
      </c>
      <c r="E57" s="158">
        <f t="shared" si="4"/>
        <v>0.26979630379063807</v>
      </c>
    </row>
    <row r="58" spans="1:6" x14ac:dyDescent="0.2">
      <c r="A58" s="11" t="s">
        <v>4</v>
      </c>
      <c r="B58" s="60">
        <v>25000</v>
      </c>
      <c r="C58" s="169">
        <f t="shared" si="3"/>
        <v>0.21258503401360543</v>
      </c>
      <c r="D58" s="60">
        <f>+B58</f>
        <v>25000</v>
      </c>
      <c r="E58" s="158">
        <f t="shared" si="4"/>
        <v>0.18735854429905421</v>
      </c>
    </row>
    <row r="59" spans="1:6" x14ac:dyDescent="0.2">
      <c r="A59" s="11" t="s">
        <v>30</v>
      </c>
      <c r="B59" s="60">
        <v>40000</v>
      </c>
      <c r="C59" s="169">
        <f t="shared" si="3"/>
        <v>0.3401360544217687</v>
      </c>
      <c r="D59" s="60">
        <f>+B59</f>
        <v>40000</v>
      </c>
      <c r="E59" s="158">
        <f t="shared" si="4"/>
        <v>0.29977367087848672</v>
      </c>
    </row>
    <row r="60" spans="1:6" x14ac:dyDescent="0.2">
      <c r="A60" s="11" t="s">
        <v>113</v>
      </c>
      <c r="B60" s="60">
        <v>36000</v>
      </c>
      <c r="C60" s="169">
        <f t="shared" si="3"/>
        <v>0.30612244897959184</v>
      </c>
      <c r="D60" s="60">
        <v>36000</v>
      </c>
      <c r="E60" s="158">
        <f t="shared" si="4"/>
        <v>0.26979630379063807</v>
      </c>
    </row>
    <row r="61" spans="1:6" ht="13.5" thickBot="1" x14ac:dyDescent="0.25">
      <c r="A61" s="178" t="s">
        <v>5</v>
      </c>
      <c r="B61" s="62">
        <f>SUM(B54:B60)</f>
        <v>1754100</v>
      </c>
      <c r="C61" s="172">
        <f t="shared" si="3"/>
        <v>14.915816326530612</v>
      </c>
      <c r="D61" s="62">
        <f>+B61</f>
        <v>1754100</v>
      </c>
      <c r="E61" s="173">
        <f t="shared" si="4"/>
        <v>13.145824902198839</v>
      </c>
    </row>
    <row r="62" spans="1:6" ht="13.5" thickBot="1" x14ac:dyDescent="0.25">
      <c r="A62" s="174" t="s">
        <v>95</v>
      </c>
      <c r="B62" s="175">
        <f>+B52-B61</f>
        <v>4650920.8000000007</v>
      </c>
      <c r="C62" s="176">
        <f>+B62/$B$9</f>
        <v>39.54864625850341</v>
      </c>
      <c r="D62" s="175">
        <f>+D52-D61</f>
        <v>9153369.1666666642</v>
      </c>
      <c r="E62" s="177">
        <f t="shared" si="4"/>
        <v>68.598476899940522</v>
      </c>
    </row>
    <row r="63" spans="1:6" ht="13.5" thickBot="1" x14ac:dyDescent="0.25">
      <c r="A63" s="179" t="s">
        <v>6</v>
      </c>
      <c r="B63" s="71">
        <v>95000</v>
      </c>
      <c r="C63" s="181">
        <f>+B63/$B$9</f>
        <v>0.80782312925170063</v>
      </c>
      <c r="D63" s="71">
        <f>+B63</f>
        <v>95000</v>
      </c>
      <c r="E63" s="182">
        <f t="shared" si="4"/>
        <v>0.71196246833640597</v>
      </c>
    </row>
    <row r="64" spans="1:6" ht="13.5" thickBot="1" x14ac:dyDescent="0.25">
      <c r="A64" s="8" t="s">
        <v>163</v>
      </c>
      <c r="B64" s="180"/>
      <c r="C64" s="63">
        <f>+(B63+B61)/C52</f>
        <v>33950.578271346123</v>
      </c>
      <c r="D64" s="180"/>
      <c r="E64" s="63">
        <f>+(D63+D61)/E52</f>
        <v>22620.53695774066</v>
      </c>
    </row>
    <row r="65" spans="1:6" ht="13.5" thickBot="1" x14ac:dyDescent="0.25">
      <c r="A65" s="162" t="s">
        <v>92</v>
      </c>
      <c r="B65" s="189">
        <f>+B52/B50</f>
        <v>0.39973969385169028</v>
      </c>
      <c r="C65" s="190"/>
      <c r="D65" s="189">
        <f>+D52/D50</f>
        <v>0.59125448619957333</v>
      </c>
      <c r="E65" s="191"/>
    </row>
    <row r="66" spans="1:6" x14ac:dyDescent="0.2">
      <c r="A66" s="117"/>
      <c r="B66" s="117"/>
      <c r="C66" s="117"/>
      <c r="D66" s="117"/>
      <c r="E66" s="117"/>
    </row>
    <row r="67" spans="1:6" x14ac:dyDescent="0.2">
      <c r="A67" s="154"/>
      <c r="B67" s="4">
        <v>0</v>
      </c>
      <c r="C67" s="155">
        <v>35000</v>
      </c>
      <c r="D67" s="155">
        <v>40000</v>
      </c>
      <c r="E67" s="155">
        <v>45000</v>
      </c>
      <c r="F67" s="55">
        <v>50000</v>
      </c>
    </row>
    <row r="68" spans="1:6" x14ac:dyDescent="0.2">
      <c r="A68" s="56" t="s">
        <v>26</v>
      </c>
      <c r="B68" s="57">
        <f>+$C$44*B67</f>
        <v>0</v>
      </c>
      <c r="C68" s="57">
        <f t="shared" ref="C68:F68" si="5">+$C$44*C67</f>
        <v>6300000</v>
      </c>
      <c r="D68" s="57">
        <f t="shared" si="5"/>
        <v>7200000</v>
      </c>
      <c r="E68" s="57">
        <f t="shared" si="5"/>
        <v>8100000</v>
      </c>
      <c r="F68" s="57">
        <f t="shared" si="5"/>
        <v>9000000</v>
      </c>
    </row>
    <row r="69" spans="1:6" x14ac:dyDescent="0.2">
      <c r="A69" s="56" t="s">
        <v>12</v>
      </c>
      <c r="B69" s="57">
        <f>$B$61+$B$63</f>
        <v>1849100</v>
      </c>
      <c r="C69" s="57">
        <f t="shared" ref="C69:F69" si="6">$B$61+$B$63</f>
        <v>1849100</v>
      </c>
      <c r="D69" s="57">
        <f t="shared" si="6"/>
        <v>1849100</v>
      </c>
      <c r="E69" s="57">
        <f t="shared" si="6"/>
        <v>1849100</v>
      </c>
      <c r="F69" s="57">
        <f t="shared" si="6"/>
        <v>1849100</v>
      </c>
    </row>
    <row r="70" spans="1:6" x14ac:dyDescent="0.2">
      <c r="A70" s="56" t="s">
        <v>27</v>
      </c>
      <c r="B70" s="57">
        <f>B67*$C$50</f>
        <v>0</v>
      </c>
      <c r="C70" s="57">
        <f t="shared" ref="C70:F70" si="7">C67*$C$50</f>
        <v>4768743.8095238097</v>
      </c>
      <c r="D70" s="57">
        <f t="shared" si="7"/>
        <v>5449992.9251700677</v>
      </c>
      <c r="E70" s="57">
        <f t="shared" si="7"/>
        <v>6131242.0408163266</v>
      </c>
      <c r="F70" s="57">
        <f t="shared" si="7"/>
        <v>6812491.1564625846</v>
      </c>
    </row>
    <row r="71" spans="1:6" x14ac:dyDescent="0.2">
      <c r="A71" s="56" t="s">
        <v>28</v>
      </c>
      <c r="B71" s="57">
        <f t="shared" ref="B71" si="8">+B70+B69</f>
        <v>1849100</v>
      </c>
      <c r="C71" s="57">
        <f t="shared" ref="C71:F71" si="9">+C70+C69</f>
        <v>6617843.8095238097</v>
      </c>
      <c r="D71" s="57">
        <f t="shared" si="9"/>
        <v>7299092.9251700677</v>
      </c>
      <c r="E71" s="57">
        <f t="shared" si="9"/>
        <v>7980342.0408163266</v>
      </c>
      <c r="F71" s="57">
        <f t="shared" si="9"/>
        <v>8661591.1564625837</v>
      </c>
    </row>
  </sheetData>
  <mergeCells count="7">
    <mergeCell ref="A1:E1"/>
    <mergeCell ref="A2:E2"/>
    <mergeCell ref="B39:C39"/>
    <mergeCell ref="D39:E39"/>
    <mergeCell ref="B65:C65"/>
    <mergeCell ref="D65:E65"/>
    <mergeCell ref="A4:A5"/>
  </mergeCells>
  <printOptions horizontalCentered="1"/>
  <pageMargins left="0" right="0" top="0.39370078740157483" bottom="0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9" workbookViewId="0">
      <selection activeCell="D35" sqref="D35"/>
    </sheetView>
  </sheetViews>
  <sheetFormatPr baseColWidth="10" defaultRowHeight="12.75" x14ac:dyDescent="0.2"/>
  <cols>
    <col min="1" max="1" width="24.28515625" bestFit="1" customWidth="1"/>
  </cols>
  <sheetData>
    <row r="1" spans="1:5" ht="16.5" thickBot="1" x14ac:dyDescent="0.3">
      <c r="A1" s="194" t="s">
        <v>105</v>
      </c>
      <c r="B1" s="194"/>
      <c r="C1" s="194"/>
      <c r="D1" s="194"/>
      <c r="E1" s="194"/>
    </row>
    <row r="2" spans="1:5" x14ac:dyDescent="0.2">
      <c r="A2" s="97"/>
      <c r="B2" s="98" t="s">
        <v>136</v>
      </c>
      <c r="C2" s="98" t="s">
        <v>137</v>
      </c>
      <c r="D2" s="98" t="s">
        <v>135</v>
      </c>
      <c r="E2" s="99" t="s">
        <v>138</v>
      </c>
    </row>
    <row r="3" spans="1:5" x14ac:dyDescent="0.2">
      <c r="A3" s="95" t="s">
        <v>132</v>
      </c>
      <c r="B3" s="96">
        <v>2300</v>
      </c>
      <c r="C3" s="96">
        <f>B3/40</f>
        <v>57.5</v>
      </c>
      <c r="D3" s="96">
        <v>1.4</v>
      </c>
      <c r="E3" s="100">
        <f>C3*D3</f>
        <v>80.5</v>
      </c>
    </row>
    <row r="4" spans="1:5" x14ac:dyDescent="0.2">
      <c r="A4" s="95" t="s">
        <v>133</v>
      </c>
      <c r="B4" s="96">
        <v>2150</v>
      </c>
      <c r="C4" s="96">
        <f t="shared" ref="C4:C6" si="0">B4/40</f>
        <v>53.75</v>
      </c>
      <c r="D4" s="96">
        <v>3.6</v>
      </c>
      <c r="E4" s="100">
        <f t="shared" ref="E4:E6" si="1">C4*D4</f>
        <v>193.5</v>
      </c>
    </row>
    <row r="5" spans="1:5" x14ac:dyDescent="0.2">
      <c r="A5" s="95" t="s">
        <v>134</v>
      </c>
      <c r="B5" s="96">
        <v>2150</v>
      </c>
      <c r="C5" s="96">
        <f t="shared" si="0"/>
        <v>53.75</v>
      </c>
      <c r="D5" s="96">
        <v>1.2</v>
      </c>
      <c r="E5" s="100">
        <f t="shared" si="1"/>
        <v>64.5</v>
      </c>
    </row>
    <row r="6" spans="1:5" x14ac:dyDescent="0.2">
      <c r="A6" s="101" t="s">
        <v>158</v>
      </c>
      <c r="B6" s="96">
        <v>1980</v>
      </c>
      <c r="C6" s="96">
        <f t="shared" si="0"/>
        <v>49.5</v>
      </c>
      <c r="D6" s="56">
        <f>0.12*'MB (Recriadas)'!B5</f>
        <v>50.4</v>
      </c>
      <c r="E6" s="100">
        <f t="shared" si="1"/>
        <v>2494.7999999999997</v>
      </c>
    </row>
    <row r="7" spans="1:5" ht="13.5" thickBot="1" x14ac:dyDescent="0.25">
      <c r="A7" s="102"/>
      <c r="B7" s="103"/>
      <c r="C7" s="103"/>
      <c r="D7" s="103"/>
      <c r="E7" s="104">
        <f>SUM(E3:E6)</f>
        <v>2833.2999999999997</v>
      </c>
    </row>
    <row r="8" spans="1:5" ht="13.5" thickBot="1" x14ac:dyDescent="0.25"/>
    <row r="9" spans="1:5" x14ac:dyDescent="0.2">
      <c r="A9" s="105" t="s">
        <v>139</v>
      </c>
      <c r="B9" s="106">
        <f>SUM(D3:D6)</f>
        <v>56.6</v>
      </c>
    </row>
    <row r="10" spans="1:5" x14ac:dyDescent="0.2">
      <c r="A10" s="107" t="s">
        <v>140</v>
      </c>
      <c r="B10" s="108">
        <f>D3*C3/SUM(D3:D6)+C4*D4/SUM(D3:D6)+C5*D5/SUM(D3:D6)+C6*D6/SUM(D3:D6)</f>
        <v>50.058303886925785</v>
      </c>
    </row>
    <row r="11" spans="1:5" ht="13.5" thickBot="1" x14ac:dyDescent="0.25">
      <c r="A11" s="109" t="s">
        <v>138</v>
      </c>
      <c r="B11" s="104">
        <f>B9*B10</f>
        <v>2833.2999999999993</v>
      </c>
    </row>
    <row r="12" spans="1:5" ht="13.5" thickBot="1" x14ac:dyDescent="0.25"/>
    <row r="13" spans="1:5" x14ac:dyDescent="0.2">
      <c r="A13" s="105" t="s">
        <v>142</v>
      </c>
      <c r="B13" s="106">
        <v>720</v>
      </c>
    </row>
    <row r="14" spans="1:5" ht="13.5" thickBot="1" x14ac:dyDescent="0.25">
      <c r="A14" s="110" t="s">
        <v>151</v>
      </c>
      <c r="B14" s="104">
        <v>175</v>
      </c>
    </row>
    <row r="15" spans="1:5" ht="13.5" thickBot="1" x14ac:dyDescent="0.25"/>
    <row r="16" spans="1:5" x14ac:dyDescent="0.2">
      <c r="A16" s="111" t="s">
        <v>111</v>
      </c>
      <c r="B16" s="112"/>
      <c r="C16" s="112" t="s">
        <v>115</v>
      </c>
      <c r="D16" s="112" t="s">
        <v>146</v>
      </c>
      <c r="E16" s="113" t="s">
        <v>138</v>
      </c>
    </row>
    <row r="17" spans="1:5" x14ac:dyDescent="0.2">
      <c r="A17" s="95" t="s">
        <v>143</v>
      </c>
      <c r="B17" s="96"/>
      <c r="C17" s="96">
        <v>2</v>
      </c>
      <c r="D17" s="96">
        <v>2700</v>
      </c>
      <c r="E17" s="100">
        <f>C17*D17</f>
        <v>5400</v>
      </c>
    </row>
    <row r="18" spans="1:5" x14ac:dyDescent="0.2">
      <c r="A18" s="95" t="s">
        <v>144</v>
      </c>
      <c r="B18" s="96"/>
      <c r="C18" s="96">
        <v>2</v>
      </c>
      <c r="D18" s="96">
        <v>3950</v>
      </c>
      <c r="E18" s="100">
        <f t="shared" ref="E18:E21" si="2">C18*D18</f>
        <v>7900</v>
      </c>
    </row>
    <row r="19" spans="1:5" x14ac:dyDescent="0.2">
      <c r="A19" s="95" t="s">
        <v>145</v>
      </c>
      <c r="B19" s="96"/>
      <c r="C19" s="96">
        <v>50</v>
      </c>
      <c r="D19" s="96">
        <v>450</v>
      </c>
      <c r="E19" s="100">
        <f t="shared" si="2"/>
        <v>22500</v>
      </c>
    </row>
    <row r="20" spans="1:5" x14ac:dyDescent="0.2">
      <c r="A20" s="95" t="s">
        <v>147</v>
      </c>
      <c r="B20" s="96"/>
      <c r="C20" s="96">
        <f>ROUNDUP(MB!B24/126,0)</f>
        <v>232</v>
      </c>
      <c r="D20" s="96">
        <v>2380</v>
      </c>
      <c r="E20" s="100">
        <f t="shared" si="2"/>
        <v>552160</v>
      </c>
    </row>
    <row r="21" spans="1:5" x14ac:dyDescent="0.2">
      <c r="A21" s="95" t="s">
        <v>152</v>
      </c>
      <c r="B21" s="96"/>
      <c r="C21" s="96">
        <f>MB!B8</f>
        <v>4200</v>
      </c>
      <c r="D21" s="96">
        <v>7.5</v>
      </c>
      <c r="E21" s="100">
        <f t="shared" si="2"/>
        <v>31500</v>
      </c>
    </row>
    <row r="22" spans="1:5" x14ac:dyDescent="0.2">
      <c r="A22" s="114"/>
      <c r="B22" s="27"/>
      <c r="C22" s="27"/>
      <c r="D22" s="27"/>
      <c r="E22" s="115">
        <f>SUM(E17:E21)</f>
        <v>619460</v>
      </c>
    </row>
    <row r="23" spans="1:5" ht="13.5" thickBot="1" x14ac:dyDescent="0.25">
      <c r="A23" s="102"/>
      <c r="B23" s="103"/>
      <c r="C23" s="103"/>
      <c r="D23" s="103"/>
      <c r="E23" s="104">
        <f>E22/MB!B8</f>
        <v>147.49047619047619</v>
      </c>
    </row>
    <row r="27" spans="1:5" ht="15.75" x14ac:dyDescent="0.25">
      <c r="A27" s="194" t="s">
        <v>104</v>
      </c>
      <c r="B27" s="194"/>
      <c r="C27" s="194"/>
      <c r="D27" s="194"/>
      <c r="E27" s="194"/>
    </row>
    <row r="28" spans="1:5" ht="13.5" thickBot="1" x14ac:dyDescent="0.25"/>
    <row r="29" spans="1:5" x14ac:dyDescent="0.2">
      <c r="A29" s="97"/>
      <c r="B29" s="112" t="s">
        <v>136</v>
      </c>
      <c r="C29" s="112" t="s">
        <v>137</v>
      </c>
      <c r="D29" s="112" t="s">
        <v>135</v>
      </c>
      <c r="E29" s="113" t="s">
        <v>138</v>
      </c>
    </row>
    <row r="30" spans="1:5" x14ac:dyDescent="0.2">
      <c r="A30" s="95" t="s">
        <v>148</v>
      </c>
      <c r="B30" s="96">
        <v>2300</v>
      </c>
      <c r="C30" s="96">
        <f>B30/40</f>
        <v>57.5</v>
      </c>
      <c r="D30" s="96">
        <v>0.45500000000000002</v>
      </c>
      <c r="E30" s="100">
        <f>C30*D30</f>
        <v>26.162500000000001</v>
      </c>
    </row>
    <row r="31" spans="1:5" x14ac:dyDescent="0.2">
      <c r="A31" s="95" t="s">
        <v>149</v>
      </c>
      <c r="B31" s="96">
        <v>2250</v>
      </c>
      <c r="C31" s="96">
        <f t="shared" ref="C31:C32" si="3">B31/40</f>
        <v>56.25</v>
      </c>
      <c r="D31" s="56">
        <f>3.249-D30</f>
        <v>2.794</v>
      </c>
      <c r="E31" s="100">
        <f t="shared" ref="E31:E33" si="4">C31*D31</f>
        <v>157.16249999999999</v>
      </c>
    </row>
    <row r="32" spans="1:5" x14ac:dyDescent="0.2">
      <c r="A32" s="95" t="s">
        <v>150</v>
      </c>
      <c r="B32" s="96">
        <v>2150</v>
      </c>
      <c r="C32" s="96">
        <f t="shared" si="3"/>
        <v>53.75</v>
      </c>
      <c r="D32" s="96">
        <f>6.043-D31</f>
        <v>3.2490000000000001</v>
      </c>
      <c r="E32" s="100">
        <f t="shared" si="4"/>
        <v>174.63374999999999</v>
      </c>
    </row>
    <row r="33" spans="1:5" x14ac:dyDescent="0.2">
      <c r="A33" s="116"/>
      <c r="B33" s="27"/>
      <c r="C33" s="27"/>
      <c r="D33" s="117"/>
      <c r="E33" s="115">
        <f t="shared" si="4"/>
        <v>0</v>
      </c>
    </row>
    <row r="34" spans="1:5" ht="13.5" thickBot="1" x14ac:dyDescent="0.25">
      <c r="A34" s="102"/>
      <c r="B34" s="103"/>
      <c r="C34" s="103"/>
      <c r="D34" s="103"/>
      <c r="E34" s="104">
        <f>SUM(E30:E33)</f>
        <v>357.95875000000001</v>
      </c>
    </row>
    <row r="35" spans="1:5" ht="13.5" thickBot="1" x14ac:dyDescent="0.25"/>
    <row r="36" spans="1:5" x14ac:dyDescent="0.2">
      <c r="A36" s="105" t="s">
        <v>139</v>
      </c>
      <c r="B36" s="106">
        <f>SUM(D30:D33)</f>
        <v>6.4980000000000002</v>
      </c>
    </row>
    <row r="37" spans="1:5" x14ac:dyDescent="0.2">
      <c r="A37" s="107" t="s">
        <v>140</v>
      </c>
      <c r="B37" s="108">
        <f>D30*C30/SUM(D30:D33)+C31*D31/SUM(D30:D33)+C32*D32/SUM(D30:D33)+C33*D33/SUM(D30:D33)</f>
        <v>55.087526931363492</v>
      </c>
    </row>
    <row r="38" spans="1:5" ht="13.5" thickBot="1" x14ac:dyDescent="0.25">
      <c r="A38" s="109" t="s">
        <v>138</v>
      </c>
      <c r="B38" s="104">
        <f>B36*B37</f>
        <v>357.95875000000001</v>
      </c>
    </row>
    <row r="40" spans="1:5" ht="13.5" thickBot="1" x14ac:dyDescent="0.25"/>
    <row r="41" spans="1:5" x14ac:dyDescent="0.2">
      <c r="A41" s="111" t="s">
        <v>111</v>
      </c>
      <c r="B41" s="112"/>
      <c r="C41" s="112" t="s">
        <v>115</v>
      </c>
      <c r="D41" s="112" t="s">
        <v>146</v>
      </c>
      <c r="E41" s="113" t="s">
        <v>138</v>
      </c>
    </row>
    <row r="42" spans="1:5" x14ac:dyDescent="0.2">
      <c r="A42" s="95" t="s">
        <v>143</v>
      </c>
      <c r="B42" s="96"/>
      <c r="C42" s="96">
        <v>2</v>
      </c>
      <c r="D42" s="96">
        <v>2700</v>
      </c>
      <c r="E42" s="100">
        <f>C42*D42</f>
        <v>5400</v>
      </c>
    </row>
    <row r="43" spans="1:5" x14ac:dyDescent="0.2">
      <c r="A43" s="95" t="s">
        <v>144</v>
      </c>
      <c r="B43" s="96"/>
      <c r="C43" s="96">
        <v>2</v>
      </c>
      <c r="D43" s="96">
        <v>3950</v>
      </c>
      <c r="E43" s="100">
        <f t="shared" ref="E43:E45" si="5">C43*D43</f>
        <v>7900</v>
      </c>
    </row>
    <row r="44" spans="1:5" x14ac:dyDescent="0.2">
      <c r="A44" s="95" t="s">
        <v>145</v>
      </c>
      <c r="B44" s="96"/>
      <c r="C44" s="96">
        <v>50</v>
      </c>
      <c r="D44" s="96">
        <v>450</v>
      </c>
      <c r="E44" s="100">
        <f t="shared" si="5"/>
        <v>22500</v>
      </c>
    </row>
    <row r="45" spans="1:5" x14ac:dyDescent="0.2">
      <c r="A45" s="95" t="s">
        <v>147</v>
      </c>
      <c r="B45" s="96"/>
      <c r="C45" s="96">
        <f>ROUNDUP(MB!B24/126,0)</f>
        <v>232</v>
      </c>
      <c r="D45" s="96">
        <v>2380</v>
      </c>
      <c r="E45" s="100">
        <f t="shared" si="5"/>
        <v>552160</v>
      </c>
    </row>
    <row r="46" spans="1:5" x14ac:dyDescent="0.2">
      <c r="A46" s="118"/>
      <c r="B46" s="27"/>
      <c r="C46" s="27"/>
      <c r="D46" s="27"/>
      <c r="E46" s="115"/>
    </row>
    <row r="47" spans="1:5" x14ac:dyDescent="0.2">
      <c r="A47" s="114"/>
      <c r="B47" s="27"/>
      <c r="C47" s="27"/>
      <c r="D47" s="27"/>
      <c r="E47" s="115">
        <f>SUM(E42:E46)</f>
        <v>587960</v>
      </c>
    </row>
    <row r="48" spans="1:5" ht="13.5" thickBot="1" x14ac:dyDescent="0.25">
      <c r="A48" s="102"/>
      <c r="B48" s="103"/>
      <c r="C48" s="103"/>
      <c r="D48" s="103"/>
      <c r="E48" s="104">
        <f>E47/(MB!C8*MB!C11)</f>
        <v>16.332222222222221</v>
      </c>
    </row>
  </sheetData>
  <mergeCells count="2">
    <mergeCell ref="A1:E1"/>
    <mergeCell ref="A27:E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D37" sqref="D37"/>
    </sheetView>
  </sheetViews>
  <sheetFormatPr baseColWidth="10" defaultRowHeight="12.75" x14ac:dyDescent="0.2"/>
  <cols>
    <col min="1" max="1" width="24.7109375" customWidth="1"/>
    <col min="2" max="2" width="14.7109375" customWidth="1"/>
    <col min="3" max="3" width="11.140625" bestFit="1" customWidth="1"/>
    <col min="4" max="4" width="25" customWidth="1"/>
  </cols>
  <sheetData>
    <row r="1" spans="1:7" x14ac:dyDescent="0.2">
      <c r="A1" s="198" t="s">
        <v>93</v>
      </c>
      <c r="B1" s="198"/>
      <c r="C1" s="198"/>
      <c r="D1" s="198"/>
      <c r="E1" s="198"/>
      <c r="F1" s="198"/>
    </row>
    <row r="2" spans="1:7" x14ac:dyDescent="0.2">
      <c r="A2" s="14" t="s">
        <v>32</v>
      </c>
      <c r="B2" s="14" t="s">
        <v>166</v>
      </c>
      <c r="C2" s="77"/>
      <c r="D2" s="77"/>
      <c r="E2" s="77"/>
      <c r="F2" s="77"/>
    </row>
    <row r="3" spans="1:7" ht="13.5" thickBot="1" x14ac:dyDescent="0.25">
      <c r="A3" s="14"/>
      <c r="B3" s="77"/>
      <c r="C3" s="77"/>
      <c r="D3" s="77"/>
      <c r="E3" s="77"/>
      <c r="F3" s="77"/>
    </row>
    <row r="4" spans="1:7" ht="13.5" thickBot="1" x14ac:dyDescent="0.25">
      <c r="A4" s="195" t="s">
        <v>33</v>
      </c>
      <c r="B4" s="196"/>
      <c r="C4" s="197"/>
      <c r="D4" s="195" t="s">
        <v>34</v>
      </c>
      <c r="E4" s="196"/>
      <c r="F4" s="197"/>
    </row>
    <row r="5" spans="1:7" ht="13.5" thickBot="1" x14ac:dyDescent="0.25">
      <c r="A5" s="202" t="s">
        <v>35</v>
      </c>
      <c r="B5" s="203"/>
      <c r="C5" s="204"/>
      <c r="D5" s="202" t="s">
        <v>36</v>
      </c>
      <c r="E5" s="203"/>
      <c r="F5" s="203"/>
    </row>
    <row r="6" spans="1:7" x14ac:dyDescent="0.2">
      <c r="A6" s="18" t="s">
        <v>167</v>
      </c>
      <c r="B6" s="19" t="s">
        <v>169</v>
      </c>
      <c r="C6" s="78">
        <f>+'MB (Recriadas)'!B41*'MB (Recriadas)'!B42</f>
        <v>21168000</v>
      </c>
      <c r="D6" s="205" t="s">
        <v>170</v>
      </c>
      <c r="E6" s="199" t="s">
        <v>169</v>
      </c>
      <c r="F6" s="208">
        <f>+'MB (Recriadas)'!B50</f>
        <v>16022979.199999999</v>
      </c>
    </row>
    <row r="7" spans="1:7" x14ac:dyDescent="0.2">
      <c r="A7" s="18" t="s">
        <v>168</v>
      </c>
      <c r="B7" s="19" t="s">
        <v>169</v>
      </c>
      <c r="C7" s="17">
        <f>+'MB (Recriadas)'!B43</f>
        <v>1260000</v>
      </c>
      <c r="D7" s="206"/>
      <c r="E7" s="200"/>
      <c r="F7" s="206"/>
    </row>
    <row r="8" spans="1:7" x14ac:dyDescent="0.2">
      <c r="A8" s="18"/>
      <c r="B8" s="19"/>
      <c r="C8" s="17"/>
      <c r="D8" s="206"/>
      <c r="E8" s="200"/>
      <c r="F8" s="206"/>
    </row>
    <row r="9" spans="1:7" ht="13.5" thickBot="1" x14ac:dyDescent="0.25">
      <c r="A9" s="12"/>
      <c r="B9" s="19" t="s">
        <v>169</v>
      </c>
      <c r="C9" s="17">
        <f>SUM(C6:C8)</f>
        <v>22428000</v>
      </c>
      <c r="D9" s="207"/>
      <c r="E9" s="201"/>
      <c r="F9" s="207"/>
    </row>
    <row r="10" spans="1:7" ht="13.5" thickBot="1" x14ac:dyDescent="0.25">
      <c r="A10" s="202" t="s">
        <v>39</v>
      </c>
      <c r="B10" s="203"/>
      <c r="C10" s="204"/>
      <c r="D10" s="202" t="s">
        <v>40</v>
      </c>
      <c r="E10" s="203"/>
      <c r="F10" s="203"/>
    </row>
    <row r="11" spans="1:7" x14ac:dyDescent="0.2">
      <c r="A11" s="205" t="s">
        <v>171</v>
      </c>
      <c r="B11" s="199" t="s">
        <v>169</v>
      </c>
      <c r="C11" s="208">
        <f>+'MB (Recriadas)'!D50</f>
        <v>18448010.833333336</v>
      </c>
      <c r="D11" s="23" t="s">
        <v>172</v>
      </c>
      <c r="E11" s="24" t="s">
        <v>169</v>
      </c>
      <c r="F11" s="22">
        <f>+'MB (Recriadas)'!D44</f>
        <v>29355480</v>
      </c>
      <c r="G11" s="4"/>
    </row>
    <row r="12" spans="1:7" x14ac:dyDescent="0.2">
      <c r="A12" s="206"/>
      <c r="B12" s="200"/>
      <c r="C12" s="206"/>
      <c r="D12" s="20"/>
      <c r="E12" s="19"/>
      <c r="F12" s="18"/>
      <c r="G12" s="4"/>
    </row>
    <row r="13" spans="1:7" x14ac:dyDescent="0.2">
      <c r="A13" s="206"/>
      <c r="B13" s="200"/>
      <c r="C13" s="206"/>
      <c r="D13" s="20"/>
      <c r="E13" s="19"/>
      <c r="F13" s="18"/>
      <c r="G13" s="4"/>
    </row>
    <row r="14" spans="1:7" ht="13.5" thickBot="1" x14ac:dyDescent="0.25">
      <c r="A14" s="207"/>
      <c r="B14" s="201"/>
      <c r="C14" s="207"/>
      <c r="D14" s="13"/>
      <c r="E14" s="21" t="s">
        <v>169</v>
      </c>
      <c r="F14" s="25">
        <f>SUM(F11:F13)</f>
        <v>29355480</v>
      </c>
      <c r="G14" s="4"/>
    </row>
    <row r="15" spans="1:7" x14ac:dyDescent="0.2">
      <c r="A15" s="15"/>
      <c r="B15" s="15"/>
      <c r="C15" s="15"/>
      <c r="D15" s="15"/>
      <c r="E15" s="15"/>
      <c r="F15" s="15"/>
    </row>
    <row r="16" spans="1:7" x14ac:dyDescent="0.2">
      <c r="A16" s="14" t="s">
        <v>41</v>
      </c>
      <c r="B16" s="77"/>
      <c r="C16" s="77"/>
      <c r="D16" s="77"/>
      <c r="E16" s="77"/>
      <c r="F16" s="77"/>
    </row>
    <row r="17" spans="1:12" x14ac:dyDescent="0.2">
      <c r="A17" s="14"/>
      <c r="B17" s="77"/>
      <c r="C17" s="79"/>
      <c r="D17" s="77"/>
      <c r="E17" s="77"/>
      <c r="F17" s="77"/>
    </row>
    <row r="18" spans="1:12" x14ac:dyDescent="0.2">
      <c r="A18" s="14" t="s">
        <v>42</v>
      </c>
      <c r="B18" s="14" t="s">
        <v>43</v>
      </c>
      <c r="C18" s="80">
        <f>+C9+C11-(F6+F14)</f>
        <v>-4502448.3666666672</v>
      </c>
      <c r="D18" s="14" t="s">
        <v>13</v>
      </c>
      <c r="E18" s="77"/>
      <c r="F18" s="77"/>
    </row>
    <row r="19" spans="1:12" x14ac:dyDescent="0.2">
      <c r="A19" s="16"/>
      <c r="B19" s="77"/>
      <c r="C19" s="77"/>
      <c r="D19" s="77"/>
      <c r="E19" s="77"/>
      <c r="F19" s="77"/>
    </row>
    <row r="20" spans="1:12" hidden="1" x14ac:dyDescent="0.2">
      <c r="A20" s="198" t="s">
        <v>173</v>
      </c>
      <c r="B20" s="198"/>
      <c r="C20" s="198"/>
      <c r="D20" s="198"/>
      <c r="E20" s="198"/>
      <c r="F20" s="198"/>
    </row>
    <row r="21" spans="1:12" hidden="1" x14ac:dyDescent="0.2">
      <c r="A21" s="16"/>
      <c r="B21" s="77"/>
      <c r="C21" s="77"/>
      <c r="D21" s="77"/>
      <c r="E21" s="77"/>
      <c r="F21" s="77"/>
    </row>
    <row r="22" spans="1:12" hidden="1" x14ac:dyDescent="0.2">
      <c r="A22" s="4" t="s">
        <v>174</v>
      </c>
      <c r="B22" s="77"/>
      <c r="C22" s="77"/>
      <c r="D22" s="77"/>
      <c r="E22" s="77"/>
      <c r="F22" s="77"/>
    </row>
    <row r="23" spans="1:12" hidden="1" x14ac:dyDescent="0.2">
      <c r="A23" s="16"/>
      <c r="B23" s="77"/>
      <c r="C23" s="77"/>
      <c r="D23" s="77"/>
      <c r="E23" s="77"/>
      <c r="F23" s="77"/>
    </row>
    <row r="24" spans="1:12" hidden="1" x14ac:dyDescent="0.2">
      <c r="A24" s="29" t="s">
        <v>72</v>
      </c>
      <c r="B24" s="81">
        <f>(C9/'MB (Recriadas)'!B9-C18/'MB (Recriadas)'!B9)/'MB (Recriadas)'!B10</f>
        <v>0.9160016451247166</v>
      </c>
      <c r="C24" s="77" t="s">
        <v>7</v>
      </c>
      <c r="D24" s="77"/>
      <c r="E24" s="77"/>
      <c r="F24" s="77"/>
    </row>
    <row r="25" spans="1:12" hidden="1" x14ac:dyDescent="0.2">
      <c r="A25" s="29" t="s">
        <v>73</v>
      </c>
      <c r="B25" s="81">
        <f>+(F14/100+C18/100)/F11</f>
        <v>8.466232414981234E-3</v>
      </c>
      <c r="C25" s="77" t="s">
        <v>7</v>
      </c>
      <c r="D25" s="77"/>
      <c r="E25" s="77"/>
      <c r="F25" s="77"/>
    </row>
    <row r="26" spans="1:12" x14ac:dyDescent="0.2">
      <c r="A26" s="28" t="s">
        <v>44</v>
      </c>
      <c r="B26" s="82"/>
      <c r="C26" s="82"/>
      <c r="D26" s="82"/>
      <c r="E26" s="82"/>
      <c r="F26" s="82"/>
      <c r="G26" s="27"/>
      <c r="H26" s="27"/>
      <c r="I26" s="27"/>
      <c r="J26" s="27"/>
      <c r="K26" s="27"/>
      <c r="L26" s="27"/>
    </row>
    <row r="27" spans="1:12" x14ac:dyDescent="0.2">
      <c r="A27" s="26"/>
      <c r="B27" s="82"/>
      <c r="C27" s="82"/>
      <c r="D27" s="82"/>
      <c r="E27" s="82"/>
      <c r="F27" s="82"/>
      <c r="G27" s="27"/>
      <c r="H27" s="27"/>
      <c r="I27" s="27"/>
      <c r="J27" s="27"/>
      <c r="K27" s="27"/>
      <c r="L27" s="27"/>
    </row>
    <row r="28" spans="1:12" hidden="1" x14ac:dyDescent="0.2">
      <c r="A28" s="31" t="s">
        <v>75</v>
      </c>
      <c r="B28" s="82"/>
      <c r="C28" s="82"/>
      <c r="D28" s="82"/>
      <c r="E28" s="82"/>
      <c r="F28" s="82"/>
      <c r="G28" s="27"/>
      <c r="H28" s="27"/>
      <c r="I28" s="27"/>
      <c r="J28" s="27"/>
      <c r="K28" s="27"/>
      <c r="L28" s="27"/>
    </row>
    <row r="29" spans="1:12" x14ac:dyDescent="0.2">
      <c r="A29" s="31"/>
      <c r="B29" s="82"/>
      <c r="C29" s="82"/>
      <c r="D29" s="82"/>
      <c r="E29" s="82"/>
      <c r="F29" s="82"/>
      <c r="G29" s="27"/>
      <c r="H29" s="27"/>
      <c r="I29" s="27"/>
      <c r="J29" s="27"/>
      <c r="K29" s="27"/>
      <c r="L29" s="27"/>
    </row>
    <row r="30" spans="1:12" x14ac:dyDescent="0.2">
      <c r="A30" s="31"/>
      <c r="B30" s="82"/>
      <c r="C30" s="82"/>
      <c r="D30" s="82"/>
      <c r="E30" s="82"/>
      <c r="F30" s="82"/>
      <c r="G30" s="27"/>
      <c r="H30" s="27"/>
      <c r="I30" s="27"/>
      <c r="J30" s="27"/>
      <c r="K30" s="27"/>
      <c r="L30" s="27"/>
    </row>
    <row r="31" spans="1:12" x14ac:dyDescent="0.2">
      <c r="A31" s="31"/>
      <c r="B31" s="82"/>
      <c r="C31" s="82"/>
      <c r="D31" s="82"/>
      <c r="E31" s="82"/>
      <c r="F31" s="82"/>
      <c r="G31" s="27"/>
      <c r="H31" s="27"/>
      <c r="I31" s="27"/>
      <c r="J31" s="27"/>
      <c r="K31" s="27"/>
      <c r="L31" s="27"/>
    </row>
    <row r="32" spans="1:12" x14ac:dyDescent="0.2">
      <c r="A32" s="82"/>
      <c r="B32" s="82"/>
      <c r="C32" s="82"/>
      <c r="D32" s="82"/>
      <c r="E32" s="82"/>
      <c r="F32" s="82"/>
      <c r="G32" s="27"/>
      <c r="H32" s="27"/>
      <c r="I32" s="27"/>
      <c r="J32" s="27"/>
      <c r="K32" s="27"/>
      <c r="L32" s="27"/>
    </row>
    <row r="33" spans="1:12" x14ac:dyDescent="0.2">
      <c r="A33" s="29" t="s">
        <v>176</v>
      </c>
      <c r="B33" s="83">
        <f>('MB (Recriadas)'!D52+'MB (Recriadas)'!B50-'MB (Recriadas)'!B43)/'MB (Recriadas)'!B41</f>
        <v>218.28612556689339</v>
      </c>
      <c r="C33" s="4" t="s">
        <v>175</v>
      </c>
      <c r="D33" s="82"/>
      <c r="E33" s="82"/>
      <c r="F33" s="82"/>
      <c r="G33" s="27"/>
      <c r="H33" s="27"/>
      <c r="I33" s="27"/>
      <c r="J33" s="27"/>
      <c r="K33" s="27"/>
      <c r="L33" s="27"/>
    </row>
    <row r="34" spans="1:12" x14ac:dyDescent="0.2">
      <c r="A34" s="29"/>
      <c r="B34" s="83"/>
      <c r="C34" s="4"/>
      <c r="D34" s="82"/>
      <c r="E34" s="82"/>
      <c r="F34" s="82"/>
      <c r="G34" s="27"/>
      <c r="H34" s="27"/>
      <c r="I34" s="27"/>
      <c r="J34" s="27"/>
      <c r="K34" s="27"/>
      <c r="L34" s="27"/>
    </row>
    <row r="35" spans="1:12" x14ac:dyDescent="0.2">
      <c r="A35" s="29"/>
      <c r="B35" s="83"/>
      <c r="C35" s="4"/>
      <c r="D35" s="82"/>
      <c r="E35" s="82"/>
      <c r="F35" s="82"/>
      <c r="G35" s="27"/>
      <c r="H35" s="27"/>
      <c r="I35" s="27"/>
      <c r="J35" s="27"/>
      <c r="K35" s="27"/>
      <c r="L35" s="27"/>
    </row>
    <row r="36" spans="1:12" x14ac:dyDescent="0.2">
      <c r="A36" s="29"/>
      <c r="B36" s="83"/>
      <c r="C36" s="4"/>
      <c r="D36" s="82"/>
      <c r="E36" s="82"/>
      <c r="F36" s="82"/>
      <c r="G36" s="27"/>
      <c r="H36" s="27"/>
      <c r="I36" s="27"/>
      <c r="J36" s="27"/>
      <c r="K36" s="27"/>
      <c r="L36" s="27"/>
    </row>
    <row r="37" spans="1:12" x14ac:dyDescent="0.2">
      <c r="A37" s="29"/>
      <c r="B37" s="83"/>
      <c r="C37" s="4"/>
      <c r="D37" s="82"/>
      <c r="E37" s="82"/>
      <c r="F37" s="82"/>
      <c r="G37" s="27"/>
      <c r="H37" s="27"/>
      <c r="I37" s="27"/>
      <c r="J37" s="27"/>
      <c r="K37" s="27"/>
      <c r="L37" s="27"/>
    </row>
    <row r="38" spans="1:12" x14ac:dyDescent="0.2">
      <c r="A38" s="29" t="s">
        <v>177</v>
      </c>
      <c r="B38" s="83">
        <f>('MB (Recriadas)'!B52+'MB (Recriadas)'!D50)/'MB (Recriadas)'!D41</f>
        <v>186.2571131295872</v>
      </c>
      <c r="C38" s="4" t="s">
        <v>162</v>
      </c>
      <c r="D38" s="77"/>
      <c r="E38" s="77"/>
      <c r="F38" s="77"/>
    </row>
    <row r="39" spans="1:12" x14ac:dyDescent="0.2">
      <c r="B39" s="76"/>
    </row>
    <row r="40" spans="1:12" x14ac:dyDescent="0.2">
      <c r="A40" s="16"/>
    </row>
    <row r="41" spans="1:12" x14ac:dyDescent="0.2">
      <c r="A41" s="16"/>
    </row>
    <row r="42" spans="1:12" x14ac:dyDescent="0.2">
      <c r="A42" s="16"/>
    </row>
    <row r="43" spans="1:12" x14ac:dyDescent="0.2">
      <c r="A43" s="16"/>
    </row>
    <row r="44" spans="1:12" x14ac:dyDescent="0.2">
      <c r="A44" s="16"/>
    </row>
    <row r="45" spans="1:12" x14ac:dyDescent="0.2">
      <c r="A45" s="16"/>
    </row>
    <row r="46" spans="1:12" x14ac:dyDescent="0.2">
      <c r="A46" s="16"/>
    </row>
    <row r="47" spans="1:12" x14ac:dyDescent="0.2">
      <c r="A47" s="16"/>
    </row>
    <row r="48" spans="1:12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  <row r="56" spans="1:1" x14ac:dyDescent="0.2">
      <c r="A56" s="16"/>
    </row>
    <row r="57" spans="1:1" x14ac:dyDescent="0.2">
      <c r="A57" s="16"/>
    </row>
    <row r="58" spans="1:1" x14ac:dyDescent="0.2">
      <c r="A58" s="16"/>
    </row>
    <row r="59" spans="1:1" x14ac:dyDescent="0.2">
      <c r="A59" s="16"/>
    </row>
  </sheetData>
  <mergeCells count="14">
    <mergeCell ref="A20:F20"/>
    <mergeCell ref="A10:C10"/>
    <mergeCell ref="D10:F10"/>
    <mergeCell ref="A11:A14"/>
    <mergeCell ref="B11:B14"/>
    <mergeCell ref="C11:C14"/>
    <mergeCell ref="A4:C4"/>
    <mergeCell ref="D4:F4"/>
    <mergeCell ref="A1:F1"/>
    <mergeCell ref="E6:E9"/>
    <mergeCell ref="A5:C5"/>
    <mergeCell ref="D5:F5"/>
    <mergeCell ref="D6:D9"/>
    <mergeCell ref="F6:F9"/>
  </mergeCells>
  <phoneticPr fontId="7" type="noConversion"/>
  <printOptions horizontalCentered="1"/>
  <pageMargins left="0" right="0.15748031496062992" top="0.39370078740157483" bottom="0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G29" sqref="G29"/>
    </sheetView>
  </sheetViews>
  <sheetFormatPr baseColWidth="10" defaultRowHeight="12.75" x14ac:dyDescent="0.2"/>
  <cols>
    <col min="1" max="1" width="47.28515625" style="4" customWidth="1"/>
    <col min="2" max="2" width="11.85546875" style="4" bestFit="1" customWidth="1"/>
    <col min="3" max="4" width="11.42578125" style="4"/>
    <col min="5" max="5" width="11.5703125" style="4" bestFit="1" customWidth="1"/>
    <col min="6" max="6" width="11.42578125" style="29"/>
    <col min="7" max="16384" width="11.42578125" style="4"/>
  </cols>
  <sheetData>
    <row r="1" spans="1:6" x14ac:dyDescent="0.2">
      <c r="A1" s="14" t="s">
        <v>85</v>
      </c>
    </row>
    <row r="2" spans="1:6" x14ac:dyDescent="0.2">
      <c r="A2" s="16"/>
      <c r="C2" s="16"/>
      <c r="F2" s="44"/>
    </row>
    <row r="3" spans="1:6" x14ac:dyDescent="0.2">
      <c r="A3" s="16" t="s">
        <v>86</v>
      </c>
      <c r="D3" s="50">
        <f>110*3.62/40</f>
        <v>9.9550000000000001</v>
      </c>
      <c r="E3" s="4" t="s">
        <v>68</v>
      </c>
      <c r="F3" s="44">
        <f>+D3*81.6</f>
        <v>812.32799999999997</v>
      </c>
    </row>
    <row r="4" spans="1:6" x14ac:dyDescent="0.2">
      <c r="A4" s="16" t="s">
        <v>88</v>
      </c>
      <c r="D4" s="4">
        <f>165*3.62</f>
        <v>597.30000000000007</v>
      </c>
      <c r="F4" s="44">
        <f>+D4*0.02</f>
        <v>11.946000000000002</v>
      </c>
    </row>
    <row r="5" spans="1:6" x14ac:dyDescent="0.2">
      <c r="A5" s="30"/>
      <c r="F5" s="44"/>
    </row>
    <row r="6" spans="1:6" x14ac:dyDescent="0.2">
      <c r="A6" s="16" t="s">
        <v>77</v>
      </c>
      <c r="B6" s="29"/>
      <c r="F6" s="44"/>
    </row>
    <row r="7" spans="1:6" x14ac:dyDescent="0.2">
      <c r="A7" s="16" t="s">
        <v>78</v>
      </c>
      <c r="B7" s="29" t="s">
        <v>45</v>
      </c>
      <c r="D7" s="49">
        <f>3.3*3.62</f>
        <v>11.946</v>
      </c>
      <c r="E7" s="16" t="s">
        <v>69</v>
      </c>
      <c r="F7" s="44">
        <f>+D7*2</f>
        <v>23.891999999999999</v>
      </c>
    </row>
    <row r="8" spans="1:6" x14ac:dyDescent="0.2">
      <c r="A8" s="16" t="s">
        <v>89</v>
      </c>
      <c r="B8" s="29" t="s">
        <v>46</v>
      </c>
      <c r="D8" s="49">
        <f>5.8*3.62</f>
        <v>20.995999999999999</v>
      </c>
      <c r="E8" s="16" t="s">
        <v>70</v>
      </c>
      <c r="F8" s="44">
        <f>+D8*0.5</f>
        <v>10.497999999999999</v>
      </c>
    </row>
    <row r="9" spans="1:6" x14ac:dyDescent="0.2">
      <c r="A9" s="16" t="s">
        <v>79</v>
      </c>
      <c r="B9" s="29" t="s">
        <v>47</v>
      </c>
      <c r="D9" s="32">
        <f>3.62*3.55</f>
        <v>12.850999999999999</v>
      </c>
      <c r="E9" s="16" t="s">
        <v>70</v>
      </c>
      <c r="F9" s="44">
        <f>+D9*3</f>
        <v>38.552999999999997</v>
      </c>
    </row>
    <row r="10" spans="1:6" x14ac:dyDescent="0.2">
      <c r="A10" s="16" t="s">
        <v>87</v>
      </c>
      <c r="B10" s="29" t="s">
        <v>48</v>
      </c>
      <c r="D10" s="49">
        <f>7.68*3.62</f>
        <v>27.801600000000001</v>
      </c>
      <c r="E10" s="16" t="s">
        <v>70</v>
      </c>
      <c r="F10" s="44">
        <f>+D10*1.6</f>
        <v>44.482560000000007</v>
      </c>
    </row>
    <row r="11" spans="1:6" x14ac:dyDescent="0.2">
      <c r="A11" s="16" t="s">
        <v>80</v>
      </c>
      <c r="B11" s="29" t="s">
        <v>49</v>
      </c>
      <c r="D11" s="32">
        <f>6.15*3.62</f>
        <v>22.263000000000002</v>
      </c>
      <c r="E11" s="16" t="s">
        <v>70</v>
      </c>
      <c r="F11" s="44">
        <f>+D11*0.1</f>
        <v>2.2263000000000002</v>
      </c>
    </row>
    <row r="12" spans="1:6" x14ac:dyDescent="0.2">
      <c r="A12" s="16" t="s">
        <v>81</v>
      </c>
      <c r="B12" s="29"/>
      <c r="D12" s="33">
        <f>0.47*3.62</f>
        <v>1.7014</v>
      </c>
      <c r="E12" s="16" t="s">
        <v>68</v>
      </c>
      <c r="F12" s="44">
        <f>+D12*120</f>
        <v>204.16800000000001</v>
      </c>
    </row>
    <row r="13" spans="1:6" x14ac:dyDescent="0.2">
      <c r="A13" s="16" t="s">
        <v>82</v>
      </c>
      <c r="B13" s="29"/>
      <c r="D13" s="49">
        <f>770*3.62/1000</f>
        <v>2.7873999999999999</v>
      </c>
      <c r="F13" s="44">
        <f>+D13*50</f>
        <v>139.37</v>
      </c>
    </row>
    <row r="14" spans="1:6" x14ac:dyDescent="0.2">
      <c r="A14" s="46"/>
      <c r="B14" s="47"/>
      <c r="C14" s="48"/>
      <c r="D14" s="49"/>
      <c r="E14" s="48"/>
      <c r="F14" s="44">
        <f>SUM(F7:F13)</f>
        <v>463.18986000000001</v>
      </c>
    </row>
    <row r="15" spans="1:6" x14ac:dyDescent="0.2">
      <c r="A15" s="16" t="s">
        <v>50</v>
      </c>
      <c r="B15" s="29" t="s">
        <v>51</v>
      </c>
      <c r="D15" s="4">
        <v>152.13999999999999</v>
      </c>
      <c r="E15" s="16" t="s">
        <v>84</v>
      </c>
      <c r="F15" s="45">
        <f>+D15*1.75</f>
        <v>266.245</v>
      </c>
    </row>
    <row r="16" spans="1:6" ht="13.5" thickBot="1" x14ac:dyDescent="0.25">
      <c r="A16" s="16"/>
      <c r="C16" s="30"/>
      <c r="D16" s="30"/>
      <c r="E16" s="30"/>
      <c r="F16" s="53"/>
    </row>
    <row r="17" spans="1:7" ht="13.5" customHeight="1" thickBot="1" x14ac:dyDescent="0.25">
      <c r="A17" s="34"/>
      <c r="B17" s="35"/>
      <c r="C17" s="195" t="s">
        <v>52</v>
      </c>
      <c r="D17" s="209"/>
      <c r="E17" s="195" t="s">
        <v>53</v>
      </c>
      <c r="F17" s="209"/>
    </row>
    <row r="18" spans="1:7" ht="13.5" thickBot="1" x14ac:dyDescent="0.25">
      <c r="A18" s="36" t="s">
        <v>37</v>
      </c>
      <c r="B18" s="37" t="s">
        <v>54</v>
      </c>
      <c r="C18" s="37"/>
      <c r="D18" s="37"/>
      <c r="E18" s="38">
        <v>70</v>
      </c>
      <c r="F18" s="38"/>
    </row>
    <row r="19" spans="1:7" ht="13.5" thickBot="1" x14ac:dyDescent="0.25">
      <c r="A19" s="36" t="s">
        <v>90</v>
      </c>
      <c r="B19" s="37" t="s">
        <v>91</v>
      </c>
      <c r="C19" s="37"/>
      <c r="D19" s="37"/>
      <c r="E19" s="52">
        <f>186/1000*100*3.62</f>
        <v>67.332000000000008</v>
      </c>
      <c r="F19" s="38"/>
    </row>
    <row r="20" spans="1:7" ht="13.5" thickBot="1" x14ac:dyDescent="0.25">
      <c r="A20" s="36" t="s">
        <v>55</v>
      </c>
      <c r="B20" s="37" t="s">
        <v>38</v>
      </c>
      <c r="C20" s="37"/>
      <c r="D20" s="37"/>
      <c r="E20" s="38">
        <f>+E18*E19</f>
        <v>4713.2400000000007</v>
      </c>
      <c r="F20" s="38"/>
    </row>
    <row r="21" spans="1:7" ht="13.5" thickBot="1" x14ac:dyDescent="0.25">
      <c r="A21" s="36" t="s">
        <v>56</v>
      </c>
      <c r="B21" s="37" t="s">
        <v>38</v>
      </c>
      <c r="C21" s="37"/>
      <c r="D21" s="37"/>
      <c r="E21" s="38"/>
      <c r="F21" s="38"/>
    </row>
    <row r="22" spans="1:7" ht="13.5" thickBot="1" x14ac:dyDescent="0.25">
      <c r="A22" s="36" t="s">
        <v>57</v>
      </c>
      <c r="B22" s="37" t="s">
        <v>38</v>
      </c>
      <c r="C22" s="37"/>
      <c r="D22" s="37"/>
      <c r="E22" s="38"/>
      <c r="F22" s="38"/>
    </row>
    <row r="23" spans="1:7" x14ac:dyDescent="0.2">
      <c r="A23" s="39" t="s">
        <v>83</v>
      </c>
      <c r="B23" s="210" t="s">
        <v>38</v>
      </c>
      <c r="C23" s="210"/>
      <c r="D23" s="210"/>
      <c r="E23" s="51"/>
      <c r="F23" s="212"/>
    </row>
    <row r="24" spans="1:7" x14ac:dyDescent="0.2">
      <c r="A24" s="39" t="s">
        <v>58</v>
      </c>
      <c r="B24" s="211"/>
      <c r="C24" s="211"/>
      <c r="D24" s="211"/>
      <c r="E24" s="40">
        <f>+F15</f>
        <v>266.245</v>
      </c>
      <c r="F24" s="213"/>
    </row>
    <row r="25" spans="1:7" x14ac:dyDescent="0.2">
      <c r="A25" s="39" t="s">
        <v>59</v>
      </c>
      <c r="B25" s="211"/>
      <c r="C25" s="211"/>
      <c r="D25" s="211"/>
      <c r="E25" s="40">
        <f>+F3</f>
        <v>812.32799999999997</v>
      </c>
      <c r="F25" s="213"/>
    </row>
    <row r="26" spans="1:7" x14ac:dyDescent="0.2">
      <c r="A26" s="39" t="s">
        <v>60</v>
      </c>
      <c r="B26" s="211"/>
      <c r="C26" s="211"/>
      <c r="D26" s="211"/>
      <c r="E26" s="40">
        <f>+F4</f>
        <v>11.946000000000002</v>
      </c>
      <c r="F26" s="213"/>
    </row>
    <row r="27" spans="1:7" x14ac:dyDescent="0.2">
      <c r="A27" s="39" t="s">
        <v>61</v>
      </c>
      <c r="B27" s="211"/>
      <c r="C27" s="211"/>
      <c r="D27" s="211"/>
      <c r="E27" s="40">
        <f>+F7+F8+F9</f>
        <v>72.942999999999998</v>
      </c>
      <c r="F27" s="213"/>
    </row>
    <row r="28" spans="1:7" x14ac:dyDescent="0.2">
      <c r="A28" s="39" t="s">
        <v>62</v>
      </c>
      <c r="B28" s="211"/>
      <c r="C28" s="211"/>
      <c r="D28" s="211"/>
      <c r="E28" s="40">
        <f>+F10+F11</f>
        <v>46.708860000000008</v>
      </c>
      <c r="F28" s="213"/>
    </row>
    <row r="29" spans="1:7" x14ac:dyDescent="0.2">
      <c r="A29" s="41" t="s">
        <v>71</v>
      </c>
      <c r="B29" s="41"/>
      <c r="C29" s="41"/>
      <c r="D29" s="41"/>
      <c r="E29" s="42">
        <f>+F12+F13</f>
        <v>343.53800000000001</v>
      </c>
      <c r="F29" s="43"/>
      <c r="G29" s="5">
        <f>360*3.62</f>
        <v>1303.2</v>
      </c>
    </row>
    <row r="30" spans="1:7" ht="13.5" thickBot="1" x14ac:dyDescent="0.25">
      <c r="A30" s="36" t="s">
        <v>63</v>
      </c>
      <c r="B30" s="37" t="s">
        <v>38</v>
      </c>
      <c r="C30" s="37"/>
      <c r="D30" s="37"/>
      <c r="E30" s="38"/>
      <c r="F30" s="38"/>
    </row>
    <row r="31" spans="1:7" ht="13.5" thickBot="1" x14ac:dyDescent="0.25">
      <c r="A31" s="36" t="s">
        <v>64</v>
      </c>
      <c r="B31" s="37" t="s">
        <v>38</v>
      </c>
      <c r="C31" s="37"/>
      <c r="D31" s="37"/>
      <c r="E31" s="38"/>
      <c r="F31" s="38"/>
    </row>
    <row r="32" spans="1:7" ht="13.5" thickBot="1" x14ac:dyDescent="0.25">
      <c r="A32" s="36" t="s">
        <v>65</v>
      </c>
      <c r="B32" s="37"/>
      <c r="C32" s="37"/>
      <c r="D32" s="37"/>
      <c r="E32" s="38"/>
      <c r="F32" s="38"/>
    </row>
    <row r="33" spans="1:6" ht="13.5" thickBot="1" x14ac:dyDescent="0.25">
      <c r="A33" s="36" t="s">
        <v>66</v>
      </c>
      <c r="B33" s="37"/>
      <c r="C33" s="37"/>
      <c r="D33" s="37"/>
      <c r="E33" s="38"/>
      <c r="F33" s="38"/>
    </row>
    <row r="34" spans="1:6" ht="13.5" thickBot="1" x14ac:dyDescent="0.25">
      <c r="A34" s="36" t="s">
        <v>67</v>
      </c>
      <c r="B34" s="37" t="s">
        <v>54</v>
      </c>
      <c r="C34" s="37"/>
      <c r="D34" s="37"/>
      <c r="E34" s="38"/>
      <c r="F34" s="38"/>
    </row>
    <row r="35" spans="1:6" x14ac:dyDescent="0.2">
      <c r="E35" s="29"/>
    </row>
    <row r="36" spans="1:6" x14ac:dyDescent="0.2">
      <c r="E36" s="29"/>
    </row>
    <row r="37" spans="1:6" x14ac:dyDescent="0.2">
      <c r="E37" s="29"/>
    </row>
    <row r="38" spans="1:6" x14ac:dyDescent="0.2">
      <c r="E38" s="29"/>
    </row>
    <row r="39" spans="1:6" x14ac:dyDescent="0.2">
      <c r="E39" s="29"/>
    </row>
    <row r="40" spans="1:6" x14ac:dyDescent="0.2">
      <c r="E40" s="29"/>
    </row>
    <row r="41" spans="1:6" x14ac:dyDescent="0.2">
      <c r="E41" s="29"/>
    </row>
    <row r="42" spans="1:6" x14ac:dyDescent="0.2">
      <c r="E42" s="29"/>
    </row>
    <row r="43" spans="1:6" x14ac:dyDescent="0.2">
      <c r="E43" s="29"/>
    </row>
    <row r="44" spans="1:6" x14ac:dyDescent="0.2">
      <c r="E44" s="29"/>
    </row>
    <row r="45" spans="1:6" x14ac:dyDescent="0.2">
      <c r="E45" s="29"/>
    </row>
    <row r="46" spans="1:6" x14ac:dyDescent="0.2">
      <c r="E46" s="29"/>
    </row>
    <row r="47" spans="1:6" x14ac:dyDescent="0.2">
      <c r="E47" s="29"/>
    </row>
    <row r="48" spans="1:6" x14ac:dyDescent="0.2">
      <c r="E48" s="29"/>
    </row>
    <row r="49" spans="5:5" x14ac:dyDescent="0.2">
      <c r="E49" s="29"/>
    </row>
    <row r="50" spans="5:5" x14ac:dyDescent="0.2">
      <c r="E50" s="29"/>
    </row>
  </sheetData>
  <mergeCells count="6">
    <mergeCell ref="C17:D17"/>
    <mergeCell ref="E17:F17"/>
    <mergeCell ref="B23:B28"/>
    <mergeCell ref="C23:C28"/>
    <mergeCell ref="D23:D28"/>
    <mergeCell ref="F23:F28"/>
  </mergeCells>
  <phoneticPr fontId="7" type="noConversion"/>
  <pageMargins left="0.75" right="0.75" top="1" bottom="1" header="0" footer="0"/>
  <pageSetup paperSize="9" orientation="landscape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MB</vt:lpstr>
      <vt:lpstr>MB (Recriadas)</vt:lpstr>
      <vt:lpstr>CA</vt:lpstr>
      <vt:lpstr>CORDONNIER</vt:lpstr>
      <vt:lpstr>Maiz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Rolando Navarro</dc:creator>
  <cp:lastModifiedBy>Eleonora</cp:lastModifiedBy>
  <cp:lastPrinted>2022-05-31T17:26:16Z</cp:lastPrinted>
  <dcterms:created xsi:type="dcterms:W3CDTF">1998-05-27T12:38:00Z</dcterms:created>
  <dcterms:modified xsi:type="dcterms:W3CDTF">2022-06-01T17:30:59Z</dcterms:modified>
</cp:coreProperties>
</file>